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ZtHfHcIQxsYiFh9er64HbAtpsm+04Y+58aLJBxUYyFEaXQr8FNYrNtFX5Ay5JlQ+vP3nc8dquw5yCqu8ej/aYw==" workbookSaltValue="PQ35yYhNBtaChKo1i+sek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AH13" i="16"/>
  <c r="AL20" i="20"/>
  <c r="E20" i="20"/>
  <c r="AC20" i="20"/>
  <c r="BG15" i="8" l="1"/>
  <c r="C10" i="14"/>
  <c r="K10" i="14" s="1"/>
  <c r="H17" i="2"/>
  <c r="BD15" i="13"/>
  <c r="BF16" i="13"/>
  <c r="B12" i="6"/>
  <c r="X12" i="21"/>
  <c r="BH11" i="16"/>
  <c r="BH17" i="16"/>
  <c r="BM16" i="11"/>
  <c r="BF17" i="11"/>
  <c r="S17" i="16"/>
  <c r="BK15" i="11"/>
  <c r="BI10" i="11"/>
  <c r="V9" i="11"/>
  <c r="R10" i="21"/>
  <c r="R13" i="21" s="1"/>
  <c r="BG9" i="11"/>
  <c r="BH17"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BK13" i="11" s="1"/>
  <c r="BF11" i="11"/>
  <c r="BL9" i="11"/>
  <c r="BG10" i="11"/>
  <c r="P17" i="17"/>
  <c r="BF16" i="11"/>
  <c r="BL12" i="11"/>
  <c r="V11" i="11"/>
  <c r="Q10" i="21"/>
  <c r="BJ11" i="11"/>
  <c r="BI17" i="11"/>
  <c r="BL11" i="11"/>
  <c r="BM15" i="11"/>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<sst xmlns="http://schemas.openxmlformats.org/spreadsheetml/2006/main" count="2066" uniqueCount="905">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</sst>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3OzSvQelAijC3yo6321TGvUrnYMvJ4CfMhpNPw7gxyAfso+03aWFQSEXtM/JQn7nelRB8iZzuvuODi4ZuVeaA==" saltValue="8vD+ssC7Ig4uewH8QPtg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26.570505920344459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171</v>
      </c>
      <c r="D10" s="229">
        <f>IF(ISNUMBER(Datos!I10),Datos!I10," - ")</f>
        <v>171</v>
      </c>
      <c r="E10" s="230">
        <f>IF(ISNUMBER(Datos!J10),Datos!J10," - ")</f>
        <v>41</v>
      </c>
      <c r="F10" s="230">
        <f>IF(ISNUMBER(Datos!K10),Datos!K10," - ")</f>
        <v>35</v>
      </c>
      <c r="G10" s="1189" t="str">
        <f>IF(Datos!E10&lt;&gt;"",Datos!E10,Datos!D10)</f>
        <v>37</v>
      </c>
      <c r="H10" s="231">
        <f>IF(ISNUMBER(Datos!L10),Datos!L10," - ")</f>
        <v>177</v>
      </c>
      <c r="I10" s="1199" t="str">
        <f>IF(ISNUMBER(Datos!AS10/Datos!BM10),Datos!AS10/Datos!BM10," - ")</f>
        <v xml:space="preserve"> - </v>
      </c>
      <c r="J10" s="1200">
        <f>IF(ISNUMBER(Datos!BY10/Datos!CN10),Datos!BY10/Datos!CN10," - ")</f>
        <v>0</v>
      </c>
      <c r="K10" s="234">
        <f t="shared" ref="K10:K12" si="1">IF(ISNUMBER((E10-F10)/C10),(E10-F10)/C10," - ")</f>
        <v>3.5087719298245612E-2</v>
      </c>
      <c r="L10" s="1201">
        <f>IF(ISNUMBER(NºAsuntos!I10/NºAsuntos!G10),(NºAsuntos!I10/NºAsuntos!G10)*11," - ")</f>
        <v>55.628571428571426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0</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171</v>
      </c>
      <c r="D13" s="1206">
        <f>SUBTOTAL(9,D9:D12)</f>
        <v>171</v>
      </c>
      <c r="E13" s="1207">
        <f>SUBTOTAL(9,E9:E12)</f>
        <v>41</v>
      </c>
      <c r="F13" s="1208">
        <f>SUBTOTAL(9,F9:F12)</f>
        <v>35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2321</v>
      </c>
      <c r="D15" s="229">
        <f>IF(ISNUMBER(IF(D_I="SI",Datos!I15,Datos!I15+Datos!AC15)),IF(D_I="SI",Datos!I15,Datos!I15+Datos!AC15)," - ")</f>
        <v>2385</v>
      </c>
      <c r="E15" s="230">
        <f>IF(ISNUMBER(IF(D_I="SI",Datos!J15,Datos!J15+Datos!AD15)),IF(D_I="SI",Datos!J15,Datos!J15+Datos!AD15)," - ")</f>
        <v>2410</v>
      </c>
      <c r="F15" s="230">
        <f>IF(ISNUMBER(IF(D_I="SI",Datos!K15,Datos!K15+Datos!AE15)),IF(D_I="SI",Datos!K15,Datos!K15+Datos!AE15)," - ")</f>
        <v>2062</v>
      </c>
      <c r="G15" s="1189" t="str">
        <f>IF(Datos!E15&lt;&gt;"",Datos!E15,Datos!D15)</f>
        <v>03</v>
      </c>
      <c r="H15" s="231">
        <f>IF(ISNUMBER(IF(D_I="SI",Datos!L15,Datos!L15+Datos!AF15)),IF(D_I="SI",Datos!L15,Datos!L15+Datos!AF15)," - ")</f>
        <v>2669</v>
      </c>
      <c r="I15" s="1199" t="str">
        <f>IF(ISNUMBER(Datos!AS15/Datos!BM15),Datos!AS15/Datos!BM15," - ")</f>
        <v xml:space="preserve"> - </v>
      </c>
      <c r="J15" s="1200">
        <f>IF(ISNUMBER(Datos!BY15/Datos!CN15),Datos!BY15/Datos!CN15," - ")</f>
        <v>0</v>
      </c>
      <c r="K15" s="234">
        <f t="shared" ref="K15:K17" si="3">IF(ISNUMBER((E15-F15)/C15),(E15-F15)/C15," - ")</f>
        <v>0.14993537268418786</v>
      </c>
      <c r="L15" s="1201">
        <f>IF(ISNUMBER(NºAsuntos!I15/NºAsuntos!G15),(NºAsuntos!I15/NºAsuntos!G15)*11," - ")</f>
        <v>14.23811833171678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5</v>
      </c>
      <c r="D16" s="229">
        <f>IF(ISNUMBER(IF(D_I="SI",Datos!I16,Datos!I16+Datos!AC16)),IF(D_I="SI",Datos!I16,Datos!I16+Datos!AC16)," - ")</f>
        <v>5</v>
      </c>
      <c r="E16" s="230">
        <f>IF(ISNUMBER(IF(D_I="SI",Datos!J16,Datos!J16+Datos!AD16)),IF(D_I="SI",Datos!J16,Datos!J16+Datos!AD16)," - ")</f>
        <v>1</v>
      </c>
      <c r="F16" s="230">
        <f>IF(ISNUMBER(IF(D_I="SI",Datos!K16,Datos!K16+Datos!AE16)),IF(D_I="SI",Datos!K16,Datos!K16+Datos!AE16)," - ")</f>
        <v>1</v>
      </c>
      <c r="G16" s="1189" t="str">
        <f>IF(Datos!E16&lt;&gt;"",Datos!E16,Datos!D16)</f>
        <v>04</v>
      </c>
      <c r="H16" s="231">
        <f>IF(ISNUMBER(IF(D_I="SI",Datos!L16,Datos!L16+Datos!AF16)),IF(D_I="SI",Datos!L16,Datos!L16+Datos!AF16)," - ")</f>
        <v>5</v>
      </c>
      <c r="I16" s="1199" t="str">
        <f>IF(ISNUMBER(Datos!AS16/Datos!BM16),Datos!AS16/Datos!BM16," - ")</f>
        <v xml:space="preserve"> - </v>
      </c>
      <c r="J16" s="1200">
        <f>IF(ISNUMBER(Datos!BY16/Datos!CN16),Datos!BY16/Datos!CN16," - ")</f>
        <v>0</v>
      </c>
      <c r="K16" s="234">
        <f t="shared" si="3"/>
        <v>0</v>
      </c>
      <c r="L16" s="1201">
        <f>IF(ISNUMBER(NºAsuntos!I16/NºAsuntos!G16),(NºAsuntos!I16/NºAsuntos!G16)*11," - ")</f>
        <v>55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186</v>
      </c>
      <c r="D17" s="229">
        <f>IF(ISNUMBER(IF(D_I="SI",Datos!I17,Datos!I17+Datos!AC17)),IF(D_I="SI",Datos!I17,Datos!I17+Datos!AC17)," - ")</f>
        <v>186</v>
      </c>
      <c r="E17" s="230">
        <f>IF(ISNUMBER(IF(D_I="SI",Datos!J17,Datos!J17+Datos!AD17)),IF(D_I="SI",Datos!J17,Datos!J17+Datos!AD17)," - ")</f>
        <v>169</v>
      </c>
      <c r="F17" s="230">
        <f>IF(ISNUMBER(IF(D_I="SI",Datos!K17,Datos!K17+Datos!AE17)),IF(D_I="SI",Datos!K17,Datos!K17+Datos!AE17)," - ")</f>
        <v>128</v>
      </c>
      <c r="G17" s="1189" t="str">
        <f>IF(Datos!E17&lt;&gt;"",Datos!E17,Datos!D17)</f>
        <v>37</v>
      </c>
      <c r="H17" s="231">
        <f>IF(ISNUMBER(IF(D_I="SI",Datos!L17,Datos!L17+Datos!AF17)),IF(D_I="SI",Datos!L17,Datos!L17+Datos!AF17)," - ")</f>
        <v>227</v>
      </c>
      <c r="I17" s="1199" t="str">
        <f>IF(ISNUMBER(Datos!AS17/Datos!BM17),Datos!AS17/Datos!BM17," - ")</f>
        <v xml:space="preserve"> - </v>
      </c>
      <c r="J17" s="1200" t="str">
        <f>IF(ISNUMBER((Datos!BY17+Datos!BZ17)/Datos!CN17),(Datos!BY17+Datos!BZ17)/Datos!CN17," - ")</f>
        <v xml:space="preserve"> - </v>
      </c>
      <c r="K17" s="234">
        <f t="shared" si="3"/>
        <v>0.22043010752688172</v>
      </c>
      <c r="L17" s="1201">
        <f>IF(ISNUMBER(NºAsuntos!I17/NºAsuntos!G17),(NºAsuntos!I17/NºAsuntos!G17)*11," - ")</f>
        <v>19.5078125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2512</v>
      </c>
      <c r="D18" s="1206">
        <f>SUBTOTAL(9,D15:D17)</f>
        <v>2576</v>
      </c>
      <c r="E18" s="1207">
        <f>SUBTOTAL(9,E15:E17)</f>
        <v>2580</v>
      </c>
      <c r="F18" s="1207">
        <f>SUBTOTAL(9,F15:F17)</f>
        <v>2191</v>
      </c>
      <c r="G18" s="1209" t="str">
        <f ca="1">INDIRECT(CONCATENATE("G",ROW()-1))</f>
        <v>37</v>
      </c>
      <c r="H18" s="1210">
        <f ca="1">SUMIF(G$14:G17,G18,H$14:H17)</f>
        <v>227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2683</v>
      </c>
      <c r="D19" s="1228">
        <f>SUBTOTAL(9,D9:D18)</f>
        <v>2747</v>
      </c>
      <c r="E19" s="1229">
        <f>SUBTOTAL(9,E9:E18)</f>
        <v>2621</v>
      </c>
      <c r="F19" s="1229">
        <f>SUBTOTAL(9,F9:F18)</f>
        <v>2226</v>
      </c>
      <c r="G19" s="1230"/>
      <c r="H19" s="1231">
        <f ca="1">SUMIF(B9:B18,"TOTAL",H9:H18)</f>
        <v>227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Pbksug/u1rBvd9R1uiSNoVBLBB0dm4gvzDq0ov8wi+QxR/vutPOlzUWX0yZQDko7ZuWcTsno64RPeWh+ZQZy9A==" saltValue="Slv4JKqwHpyejU+AQ5TCV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C5L5KkQK9tMl280KpVxsuEg15BB+BAWNu1w5MmcEZvDedXbmcG5X6i6Fg2BjlUQBZkWdJG/HX8m0JM3FuQqOA==" saltValue="0uJUmGwCy4uxihuLA9uq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8060</v>
      </c>
      <c r="J9" s="185">
        <v>4260</v>
      </c>
      <c r="K9" s="185">
        <v>3536</v>
      </c>
      <c r="L9" s="185">
        <v>8784</v>
      </c>
      <c r="M9" s="185">
        <v>780</v>
      </c>
      <c r="N9" s="185">
        <v>1575</v>
      </c>
      <c r="O9" s="185">
        <v>1185</v>
      </c>
      <c r="P9" s="185">
        <v>538</v>
      </c>
      <c r="Q9" s="185">
        <v>595</v>
      </c>
      <c r="R9" s="185">
        <v>9604</v>
      </c>
      <c r="S9" s="185">
        <v>6232</v>
      </c>
      <c r="T9" s="185">
        <v>3284</v>
      </c>
      <c r="U9" s="185">
        <v>3719</v>
      </c>
      <c r="V9" s="185">
        <v>5636</v>
      </c>
      <c r="W9" s="185">
        <v>654</v>
      </c>
      <c r="X9" s="192">
        <v>1963</v>
      </c>
      <c r="Y9" s="195">
        <v>241</v>
      </c>
      <c r="Z9" s="185">
        <v>131</v>
      </c>
      <c r="AA9" s="185">
        <v>180</v>
      </c>
      <c r="AB9" s="185">
        <v>192</v>
      </c>
      <c r="AC9" s="185">
        <v>0</v>
      </c>
      <c r="AD9" s="185">
        <v>0</v>
      </c>
      <c r="AE9" s="185">
        <v>0</v>
      </c>
      <c r="AF9" s="192">
        <v>0</v>
      </c>
      <c r="AG9" s="195">
        <v>175</v>
      </c>
      <c r="AH9" s="185">
        <v>178</v>
      </c>
      <c r="AI9" s="185">
        <v>186</v>
      </c>
      <c r="AJ9" s="196">
        <v>150</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6407</v>
      </c>
      <c r="AZ9" s="124">
        <f>IF(ISNUMBER(IF(J_V="SI",T9,T9+AH9)),IF(J_V="SI",T9,T9+AH9)," - ")</f>
        <v>3462</v>
      </c>
      <c r="BA9" s="125">
        <f>IF(ISNUMBER(IF(J_V="SI",U9,U9+AI9)),IF(J_V="SI",U9,U9+AI9)," - ")</f>
        <v>3905</v>
      </c>
      <c r="BB9" s="125">
        <f>IF(ISNUMBER(IF(J_V="SI",V9,V9+AJ9)),IF(J_V="SI",V9,V9+AJ9)," - ")</f>
        <v>5786</v>
      </c>
      <c r="BC9" s="126">
        <f>IF(ISNUMBER(X9),X9," - ")</f>
        <v>1963</v>
      </c>
      <c r="BD9" s="127">
        <f>IF(ISNUMBER(BA9/AZ9),BA9/AZ9," - ")</f>
        <v>1.1279607163489314</v>
      </c>
      <c r="BE9" s="128">
        <f>IF(ISNUMBER(BB9/BA9),BB9/BA9, " - ")</f>
        <v>1.4816901408450704</v>
      </c>
      <c r="BF9" s="128">
        <f>IF(ISNUMBER(BC9/BA9),BC9/BA9, " - ")</f>
        <v>0.50268886043533934</v>
      </c>
      <c r="BG9" s="200">
        <f>IF(ISNUMBER((AY9+AZ9)/BA9),(AY9+AZ9)/BA9," - ")</f>
        <v>2.5272727272727273</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171</v>
      </c>
      <c r="J10" s="185">
        <v>41</v>
      </c>
      <c r="K10" s="185">
        <v>35</v>
      </c>
      <c r="L10" s="185">
        <v>177</v>
      </c>
      <c r="M10" s="185">
        <v>12</v>
      </c>
      <c r="N10" s="185">
        <v>0</v>
      </c>
      <c r="O10" s="185">
        <v>0</v>
      </c>
      <c r="P10" s="185">
        <v>5</v>
      </c>
      <c r="Q10" s="185">
        <v>7</v>
      </c>
      <c r="R10" s="185">
        <v>106</v>
      </c>
      <c r="S10" s="185">
        <v>214</v>
      </c>
      <c r="T10" s="185">
        <v>46</v>
      </c>
      <c r="U10" s="185">
        <v>74</v>
      </c>
      <c r="V10" s="185">
        <v>186</v>
      </c>
      <c r="W10" s="185">
        <v>21</v>
      </c>
      <c r="X10" s="192">
        <v>27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214</v>
      </c>
      <c r="AZ10" s="130">
        <f t="shared" si="0"/>
        <v>46</v>
      </c>
      <c r="BA10" s="130">
        <f t="shared" si="0"/>
        <v>74</v>
      </c>
      <c r="BB10" s="130">
        <f t="shared" si="0"/>
        <v>186</v>
      </c>
      <c r="BC10" s="126">
        <f t="shared" si="0"/>
        <v>21</v>
      </c>
      <c r="BD10" s="127">
        <f>IF(ISNUMBER(BA10/AZ10),BA10/AZ10," - ")</f>
        <v>1.6086956521739131</v>
      </c>
      <c r="BE10" s="128">
        <f>IF(ISNUMBER(BB10/BA10),BB10/BA10, " - ")</f>
        <v>2.5135135135135136</v>
      </c>
      <c r="BF10" s="128">
        <f>IF(ISNUMBER(BC10/BA10),BC10/BA10, " - ")</f>
        <v>0.28378378378378377</v>
      </c>
      <c r="BG10" s="200">
        <f>IF(ISNUMBER((AY10+AZ10)/BA10),(AY10+AZ10)/BA10," - ")</f>
        <v>3.5135135135135136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v>
      </c>
      <c r="J12" s="187">
        <v>0</v>
      </c>
      <c r="K12" s="187">
        <v>1</v>
      </c>
      <c r="L12" s="187">
        <v>0</v>
      </c>
      <c r="M12" s="187">
        <v>0</v>
      </c>
      <c r="N12" s="187">
        <v>0</v>
      </c>
      <c r="O12" s="185">
        <v>8</v>
      </c>
      <c r="P12" s="187">
        <v>3</v>
      </c>
      <c r="Q12" s="187">
        <v>27</v>
      </c>
      <c r="R12" s="187">
        <v>1024</v>
      </c>
      <c r="S12" s="187">
        <v>1</v>
      </c>
      <c r="T12" s="187">
        <v>0</v>
      </c>
      <c r="U12" s="187">
        <v>0</v>
      </c>
      <c r="V12" s="187">
        <v>1</v>
      </c>
      <c r="W12" s="187">
        <v>0</v>
      </c>
      <c r="X12" s="193">
        <v>4</v>
      </c>
      <c r="Y12" s="195">
        <v>0</v>
      </c>
      <c r="Z12" s="185">
        <v>0</v>
      </c>
      <c r="AA12" s="185">
        <v>0</v>
      </c>
      <c r="AB12" s="185">
        <v>0</v>
      </c>
      <c r="AC12" s="187">
        <v>0</v>
      </c>
      <c r="AD12" s="187">
        <v>0</v>
      </c>
      <c r="AE12" s="187">
        <v>0</v>
      </c>
      <c r="AF12" s="193">
        <v>0</v>
      </c>
      <c r="AG12" s="206">
        <v>0</v>
      </c>
      <c r="AH12" s="187">
        <v>4</v>
      </c>
      <c r="AI12" s="187">
        <v>4</v>
      </c>
      <c r="AJ12" s="207">
        <v>0</v>
      </c>
      <c r="AK12" s="186">
        <v>0</v>
      </c>
      <c r="AL12" s="187">
        <v>0</v>
      </c>
      <c r="AM12" s="187">
        <v>0</v>
      </c>
      <c r="AN12" s="193">
        <v>0</v>
      </c>
      <c r="AO12" s="263">
        <v>0</v>
      </c>
      <c r="AP12" s="159">
        <v>0</v>
      </c>
      <c r="AQ12" s="159">
        <v>0</v>
      </c>
      <c r="AR12" s="158">
        <v>0</v>
      </c>
      <c r="AS12" s="349" t="s">
        <v>803</v>
      </c>
      <c r="AT12" s="207"/>
      <c r="AU12" s="206"/>
      <c r="AV12" s="207"/>
      <c r="AW12" s="206"/>
      <c r="AX12" s="207"/>
      <c r="AY12" s="127">
        <f t="shared" si="1"/>
        <v>1</v>
      </c>
      <c r="AZ12" s="128">
        <f t="shared" si="1"/>
        <v>4</v>
      </c>
      <c r="BA12" s="128">
        <f t="shared" si="1"/>
        <v>4</v>
      </c>
      <c r="BB12" s="128">
        <f t="shared" si="1"/>
        <v>1</v>
      </c>
      <c r="BC12" s="126">
        <f>IF(ISNUMBER(X12),X12," - ")</f>
        <v>4</v>
      </c>
      <c r="BD12" s="127">
        <f t="shared" si="2"/>
        <v>1</v>
      </c>
      <c r="BE12" s="128">
        <f t="shared" si="3"/>
        <v>0.25</v>
      </c>
      <c r="BF12" s="128">
        <f t="shared" si="4"/>
        <v>1</v>
      </c>
      <c r="BG12" s="200">
        <f t="shared" si="5"/>
        <v>1.25</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8232</v>
      </c>
      <c r="J13" s="188">
        <f t="shared" si="6"/>
        <v>4301</v>
      </c>
      <c r="K13" s="188">
        <f t="shared" si="6"/>
        <v>3572</v>
      </c>
      <c r="L13" s="188">
        <f t="shared" si="6"/>
        <v>8961</v>
      </c>
      <c r="M13" s="188">
        <f t="shared" si="6"/>
        <v>792</v>
      </c>
      <c r="N13" s="188">
        <f t="shared" si="6"/>
        <v>1575</v>
      </c>
      <c r="O13" s="188">
        <f t="shared" si="6"/>
        <v>1193</v>
      </c>
      <c r="P13" s="188">
        <f t="shared" si="6"/>
        <v>546</v>
      </c>
      <c r="Q13" s="188">
        <f t="shared" si="6"/>
        <v>629</v>
      </c>
      <c r="R13" s="188">
        <f t="shared" si="6"/>
        <v>10734</v>
      </c>
      <c r="S13" s="188">
        <f t="shared" si="6"/>
        <v>6447</v>
      </c>
      <c r="T13" s="188">
        <f t="shared" si="6"/>
        <v>3330</v>
      </c>
      <c r="U13" s="188">
        <f t="shared" si="6"/>
        <v>3793</v>
      </c>
      <c r="V13" s="188">
        <f t="shared" si="6"/>
        <v>5823</v>
      </c>
      <c r="W13" s="188">
        <f t="shared" si="6"/>
        <v>675</v>
      </c>
      <c r="X13" s="188">
        <f t="shared" si="6"/>
        <v>1994</v>
      </c>
      <c r="Y13" s="188">
        <f t="shared" si="6"/>
        <v>241</v>
      </c>
      <c r="Z13" s="188">
        <f t="shared" si="6"/>
        <v>131</v>
      </c>
      <c r="AA13" s="188">
        <f t="shared" si="6"/>
        <v>180</v>
      </c>
      <c r="AB13" s="188">
        <f t="shared" si="6"/>
        <v>192</v>
      </c>
      <c r="AC13" s="188">
        <f t="shared" si="6"/>
        <v>0</v>
      </c>
      <c r="AD13" s="188">
        <f t="shared" si="6"/>
        <v>0</v>
      </c>
      <c r="AE13" s="188">
        <f t="shared" si="6"/>
        <v>0</v>
      </c>
      <c r="AF13" s="188">
        <f>SUBTOTAL(9,AF9:AF12)</f>
        <v>0</v>
      </c>
      <c r="AG13" s="188">
        <f t="shared" ref="AG13:AT13" si="7">SUBTOTAL(9,AG8:AG12)</f>
        <v>175</v>
      </c>
      <c r="AH13" s="188">
        <f t="shared" si="7"/>
        <v>182</v>
      </c>
      <c r="AI13" s="188">
        <f t="shared" si="7"/>
        <v>190</v>
      </c>
      <c r="AJ13" s="188">
        <f t="shared" si="7"/>
        <v>150</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6622</v>
      </c>
      <c r="AZ13" s="188">
        <f>SUBTOTAL(9,AZ8:AZ12)</f>
        <v>3512</v>
      </c>
      <c r="BA13" s="188">
        <f>SUBTOTAL(9,BA8:BA12)</f>
        <v>3983</v>
      </c>
      <c r="BB13" s="188">
        <f>SUBTOTAL(9,BB8:BB12)</f>
        <v>5973</v>
      </c>
      <c r="BC13" s="188">
        <f>SUBTOTAL(9,BC8:BC12)</f>
        <v>1988</v>
      </c>
      <c r="BD13" s="209">
        <f>IF(ISNUMBER(BA13/AZ13),BA13/AZ13," - ")</f>
        <v>1.1341116173120729</v>
      </c>
      <c r="BE13" s="210">
        <f>IF(ISNUMBER(BB13/BA13),BB13/BA13, " - ")</f>
        <v>1.4996233994476524</v>
      </c>
      <c r="BF13" s="210">
        <f>IF(ISNUMBER(BC13/BA13),BC13/BA13, " - ")</f>
        <v>0.49912126537785589</v>
      </c>
      <c r="BG13" s="211">
        <f>IF(ISNUMBER((AY13+AZ13)/BA13),(AY13+AZ13)/BA13," - ")</f>
        <v>2.544313331659553</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2385</v>
      </c>
      <c r="J15" s="187">
        <v>2410</v>
      </c>
      <c r="K15" s="187">
        <v>2062</v>
      </c>
      <c r="L15" s="187">
        <v>2669</v>
      </c>
      <c r="M15" s="187">
        <v>325</v>
      </c>
      <c r="N15" s="187">
        <v>1326</v>
      </c>
      <c r="O15" s="185">
        <v>27</v>
      </c>
      <c r="P15" s="187">
        <v>94</v>
      </c>
      <c r="Q15" s="187">
        <v>77</v>
      </c>
      <c r="R15" s="187">
        <v>486</v>
      </c>
      <c r="S15" s="187">
        <v>1973</v>
      </c>
      <c r="T15" s="187">
        <v>2439</v>
      </c>
      <c r="U15" s="187">
        <v>2598</v>
      </c>
      <c r="V15" s="187">
        <v>1780</v>
      </c>
      <c r="W15" s="187">
        <v>588</v>
      </c>
      <c r="X15" s="193">
        <v>1366</v>
      </c>
      <c r="Y15" s="206">
        <v>0</v>
      </c>
      <c r="Z15" s="187">
        <v>0</v>
      </c>
      <c r="AA15" s="187">
        <v>0</v>
      </c>
      <c r="AB15" s="187">
        <v>0</v>
      </c>
      <c r="AC15" s="187">
        <v>0</v>
      </c>
      <c r="AD15" s="187">
        <v>0</v>
      </c>
      <c r="AE15" s="187">
        <v>0</v>
      </c>
      <c r="AF15" s="193">
        <v>0</v>
      </c>
      <c r="AG15" s="206">
        <v>0</v>
      </c>
      <c r="AH15" s="187">
        <v>0</v>
      </c>
      <c r="AI15" s="187">
        <v>0</v>
      </c>
      <c r="AJ15" s="207">
        <v>0</v>
      </c>
      <c r="AK15" s="186">
        <v>0</v>
      </c>
      <c r="AL15" s="187">
        <v>0</v>
      </c>
      <c r="AM15" s="187">
        <v>0</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1973</v>
      </c>
      <c r="AZ15" s="130">
        <f t="shared" si="9"/>
        <v>2439</v>
      </c>
      <c r="BA15" s="130">
        <f t="shared" si="9"/>
        <v>2598</v>
      </c>
      <c r="BB15" s="130">
        <f t="shared" si="9"/>
        <v>1780</v>
      </c>
      <c r="BC15" s="126">
        <f>IF(ISNUMBER(W15),W15," - ")</f>
        <v>588</v>
      </c>
      <c r="BD15" s="127">
        <f>IF(ISNUMBER(BA15/AZ15),BA15/AZ15," - ")</f>
        <v>1.0651906519065191</v>
      </c>
      <c r="BE15" s="128">
        <f>IF(ISNUMBER(BB15/BA15),BB15/BA15, " - ")</f>
        <v>0.68514241724403391</v>
      </c>
      <c r="BF15" s="128">
        <f>IF(ISNUMBER(BC15/BA15),BC15/BA15, " - ")</f>
        <v>0.22632794457274827</v>
      </c>
      <c r="BG15" s="200">
        <f t="shared" ref="BG15:BG16" si="10">IF(ISNUMBER((AY15+AZ15)/BA15),(AY15+AZ15)/BA15," - ")</f>
        <v>1.6982294072363358</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v>
      </c>
      <c r="J16" s="187">
        <v>1</v>
      </c>
      <c r="K16" s="187">
        <v>1</v>
      </c>
      <c r="L16" s="187">
        <v>5</v>
      </c>
      <c r="M16" s="187">
        <v>0</v>
      </c>
      <c r="N16" s="187">
        <v>1</v>
      </c>
      <c r="O16" s="185">
        <v>0</v>
      </c>
      <c r="P16" s="187">
        <v>0</v>
      </c>
      <c r="Q16" s="187">
        <v>0</v>
      </c>
      <c r="R16" s="187">
        <v>0</v>
      </c>
      <c r="S16" s="187">
        <v>6</v>
      </c>
      <c r="T16" s="187">
        <v>0</v>
      </c>
      <c r="U16" s="187">
        <v>0</v>
      </c>
      <c r="V16" s="187">
        <v>5</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6</v>
      </c>
      <c r="AZ16" s="128">
        <f t="shared" si="9"/>
        <v>0</v>
      </c>
      <c r="BA16" s="128">
        <f t="shared" si="9"/>
        <v>0</v>
      </c>
      <c r="BB16" s="128">
        <f t="shared" si="9"/>
        <v>5</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186</v>
      </c>
      <c r="J17" s="187">
        <v>169</v>
      </c>
      <c r="K17" s="187">
        <v>128</v>
      </c>
      <c r="L17" s="187">
        <v>227</v>
      </c>
      <c r="M17" s="187">
        <v>66</v>
      </c>
      <c r="N17" s="187">
        <v>101</v>
      </c>
      <c r="O17" s="187">
        <v>0</v>
      </c>
      <c r="P17" s="187">
        <v>18</v>
      </c>
      <c r="Q17" s="187">
        <v>51</v>
      </c>
      <c r="R17" s="187">
        <v>77</v>
      </c>
      <c r="S17" s="187">
        <v>133</v>
      </c>
      <c r="T17" s="187">
        <v>172</v>
      </c>
      <c r="U17" s="187">
        <v>183</v>
      </c>
      <c r="V17" s="187">
        <v>122</v>
      </c>
      <c r="W17" s="187">
        <v>79</v>
      </c>
      <c r="X17" s="193">
        <v>98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133</v>
      </c>
      <c r="AZ17" s="130">
        <f t="shared" si="14"/>
        <v>172</v>
      </c>
      <c r="BA17" s="130">
        <f t="shared" si="14"/>
        <v>183</v>
      </c>
      <c r="BB17" s="130">
        <f t="shared" si="14"/>
        <v>122</v>
      </c>
      <c r="BC17" s="126">
        <f>IF(ISNUMBER(W17),W17," - ")</f>
        <v>79</v>
      </c>
      <c r="BD17" s="127">
        <f>IF(ISNUMBER(BA17/AZ17),BA17/AZ17," - ")</f>
        <v>1.0639534883720929</v>
      </c>
      <c r="BE17" s="128">
        <f>IF(ISNUMBER(BB17/BA17),BB17/BA17, " - ")</f>
        <v>0.66666666666666663</v>
      </c>
      <c r="BF17" s="128">
        <f>IF(ISNUMBER(BC17/BA17),BC17/BA17, " - ")</f>
        <v>0.43169398907103823</v>
      </c>
      <c r="BG17" s="200">
        <f>IF(ISNUMBER((AY17+AZ17)/BA17),(AY17+AZ17)/BA17," - ")</f>
        <v>1.6666666666666667</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2576</v>
      </c>
      <c r="J18" s="188">
        <f t="shared" si="15"/>
        <v>2580</v>
      </c>
      <c r="K18" s="188">
        <f t="shared" si="15"/>
        <v>2191</v>
      </c>
      <c r="L18" s="188">
        <f t="shared" si="15"/>
        <v>2901</v>
      </c>
      <c r="M18" s="188">
        <f t="shared" si="15"/>
        <v>391</v>
      </c>
      <c r="N18" s="188">
        <f t="shared" si="15"/>
        <v>1428</v>
      </c>
      <c r="O18" s="188">
        <f t="shared" si="15"/>
        <v>27</v>
      </c>
      <c r="P18" s="188">
        <f t="shared" si="15"/>
        <v>112</v>
      </c>
      <c r="Q18" s="188">
        <f t="shared" si="15"/>
        <v>128</v>
      </c>
      <c r="R18" s="188">
        <f t="shared" si="15"/>
        <v>563</v>
      </c>
      <c r="S18" s="188">
        <f t="shared" si="15"/>
        <v>2112</v>
      </c>
      <c r="T18" s="188">
        <f t="shared" si="15"/>
        <v>2611</v>
      </c>
      <c r="U18" s="188">
        <f t="shared" si="15"/>
        <v>2781</v>
      </c>
      <c r="V18" s="188">
        <f t="shared" si="15"/>
        <v>1907</v>
      </c>
      <c r="W18" s="188">
        <f t="shared" si="15"/>
        <v>667</v>
      </c>
      <c r="X18" s="188">
        <f t="shared" si="15"/>
        <v>1464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2112</v>
      </c>
      <c r="AZ18" s="188">
        <f>SUBTOTAL(9,AZ14:AZ17)</f>
        <v>2611</v>
      </c>
      <c r="BA18" s="188">
        <f>SUBTOTAL(9,BA14:BA17)</f>
        <v>2781</v>
      </c>
      <c r="BB18" s="188">
        <f>SUBTOTAL(9,BB14:BB17)</f>
        <v>1907</v>
      </c>
      <c r="BC18" s="188">
        <f>SUBTOTAL(9,BC14:BC17)</f>
        <v>667</v>
      </c>
      <c r="BD18" s="209">
        <f>IF(ISNUMBER(BA18/AZ18),BA18/AZ18," - ")</f>
        <v>1.0651091535810036</v>
      </c>
      <c r="BE18" s="210">
        <f>IF(ISNUMBER(BB18/BA18),BB18/BA18, " - ")</f>
        <v>0.68572455951096722</v>
      </c>
      <c r="BF18" s="210">
        <f>IF(ISNUMBER(BC18/BA18),BC18/BA18, " - ")</f>
        <v>0.23984178353110391</v>
      </c>
      <c r="BG18" s="211">
        <f>IF(ISNUMBER((AY18+AZ18)/BA18),(AY18+AZ18)/BA18," - ")</f>
        <v>1.6983099604458827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10808</v>
      </c>
      <c r="J19" s="135">
        <f t="shared" si="18"/>
        <v>6881</v>
      </c>
      <c r="K19" s="135">
        <f t="shared" si="18"/>
        <v>5763</v>
      </c>
      <c r="L19" s="135">
        <f t="shared" si="18"/>
        <v>11862</v>
      </c>
      <c r="M19" s="135">
        <f t="shared" si="18"/>
        <v>1183</v>
      </c>
      <c r="N19" s="135">
        <f t="shared" si="18"/>
        <v>3003</v>
      </c>
      <c r="O19" s="135">
        <f t="shared" si="18"/>
        <v>1220</v>
      </c>
      <c r="P19" s="135">
        <f t="shared" si="18"/>
        <v>658</v>
      </c>
      <c r="Q19" s="135">
        <f t="shared" si="18"/>
        <v>757</v>
      </c>
      <c r="R19" s="135">
        <f t="shared" si="18"/>
        <v>11297</v>
      </c>
      <c r="S19" s="135">
        <f t="shared" si="18"/>
        <v>8559</v>
      </c>
      <c r="T19" s="135">
        <f t="shared" si="18"/>
        <v>5941</v>
      </c>
      <c r="U19" s="135">
        <f t="shared" si="18"/>
        <v>6574</v>
      </c>
      <c r="V19" s="135">
        <f t="shared" si="18"/>
        <v>7730</v>
      </c>
      <c r="W19" s="135">
        <f t="shared" si="18"/>
        <v>1342</v>
      </c>
      <c r="X19" s="135">
        <f t="shared" si="18"/>
        <v>3458</v>
      </c>
      <c r="Y19" s="135">
        <f t="shared" si="18"/>
        <v>241</v>
      </c>
      <c r="Z19" s="135">
        <f t="shared" si="18"/>
        <v>131</v>
      </c>
      <c r="AA19" s="135">
        <f t="shared" si="18"/>
        <v>180</v>
      </c>
      <c r="AB19" s="135">
        <f t="shared" si="18"/>
        <v>192</v>
      </c>
      <c r="AC19" s="135">
        <f t="shared" si="18"/>
        <v>0</v>
      </c>
      <c r="AD19" s="135">
        <f t="shared" si="18"/>
        <v>0</v>
      </c>
      <c r="AE19" s="135">
        <f t="shared" si="18"/>
        <v>0</v>
      </c>
      <c r="AF19" s="135">
        <f t="shared" si="18"/>
        <v>0</v>
      </c>
      <c r="AG19" s="135">
        <f t="shared" si="18"/>
        <v>175</v>
      </c>
      <c r="AH19" s="135">
        <f t="shared" si="18"/>
        <v>182</v>
      </c>
      <c r="AI19" s="135">
        <f t="shared" si="18"/>
        <v>190</v>
      </c>
      <c r="AJ19" s="135">
        <f t="shared" si="18"/>
        <v>150</v>
      </c>
      <c r="AK19" s="135">
        <f t="shared" si="18"/>
        <v>0</v>
      </c>
      <c r="AL19" s="135">
        <f t="shared" si="18"/>
        <v>0</v>
      </c>
      <c r="AM19" s="135">
        <f t="shared" si="18"/>
        <v>0</v>
      </c>
      <c r="AN19" s="214">
        <f t="shared" si="18"/>
        <v>0</v>
      </c>
      <c r="AO19" s="215">
        <v>10</v>
      </c>
      <c r="AP19" s="215">
        <v>9</v>
      </c>
      <c r="AQ19" s="215">
        <v>9</v>
      </c>
      <c r="AR19" s="215">
        <v>9</v>
      </c>
      <c r="AS19" s="157">
        <f t="shared" si="18"/>
        <v>0</v>
      </c>
      <c r="AT19" s="157">
        <f t="shared" si="18"/>
        <v>0</v>
      </c>
      <c r="AU19" s="215"/>
      <c r="AV19" s="216"/>
      <c r="AW19" s="215"/>
      <c r="AX19" s="216"/>
      <c r="AY19" s="134">
        <f>SUBTOTAL(9,AY9:AY18)</f>
        <v>8734</v>
      </c>
      <c r="AZ19" s="135">
        <f>SUBTOTAL(9,AZ9:AZ18)</f>
        <v>6123</v>
      </c>
      <c r="BA19" s="135">
        <f>SUBTOTAL(9,BA9:BA18)</f>
        <v>6764</v>
      </c>
      <c r="BB19" s="135">
        <f>SUBTOTAL(9,BB9:BB18)</f>
        <v>7880</v>
      </c>
      <c r="BC19" s="136">
        <f>SUBTOTAL(9,BC9:BC18)</f>
        <v>2655</v>
      </c>
      <c r="BD19" s="217">
        <f>IF(ISNUMBER(BA19/AZ19),BA19/AZ19," - ")</f>
        <v>1.1046872448146334</v>
      </c>
      <c r="BE19" s="214">
        <f>IF(ISNUMBER(BB19/BA19),BB19/BA19, " - ")</f>
        <v>1.1649911295091662</v>
      </c>
      <c r="BF19" s="214">
        <f>IF(ISNUMBER(BC19/BA19),BC19/BA19, " - ")</f>
        <v>0.39251921939680662</v>
      </c>
      <c r="BG19" s="136">
        <f>IF(ISNUMBER((AY19+AZ19)/BA19),(AY19+AZ19)/BA19," - ")</f>
        <v>2.1964813719692491</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5yaNq5DEOXC5PnIGsBt0vbneedFfg6CzdcQsSD1IUulYYSvUrCdIBgN8zSz8RUgEVzOXWtwhsn8vTgg6XVmg==" saltValue="2lbyYVL5MHifLTWSTWvO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zMV0O6wz0x9/WTuGsi/X04FT7TatI9voufKjSHOFIDlxNq+1PUJ2doXGzO1AJmEFsU0bRhWzaI2eSHV+drDbA==" saltValue="znDi9LNpUBdfqi5JejuZ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TELDE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131</v>
      </c>
      <c r="O9" s="503"/>
      <c r="P9" s="503"/>
      <c r="Q9" s="501">
        <f>IF(ISNUMBER(Datos!P9),Datos!P9,0)</f>
        <v>538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595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192</v>
      </c>
      <c r="AI9" s="503" t="str">
        <f>IF(ISNUMBER(Datos!CD9),Datos!CD9,"-")</f>
        <v>-</v>
      </c>
      <c r="AJ9" s="503" t="str">
        <f>IF(ISNUMBER(Datos!EN9),Datos!EN9," - ")</f>
        <v xml:space="preserve"> - </v>
      </c>
      <c r="AK9" s="503"/>
      <c r="AL9" s="504"/>
      <c r="AM9" s="671">
        <f>IF(ISNUMBER(Datos!R9),Datos!R9," - ")</f>
        <v>9604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780</v>
      </c>
      <c r="BD9" s="619">
        <f>IF(ISNUMBER(Datos!N9),Datos!N9," - ")</f>
        <v>1575</v>
      </c>
      <c r="BE9" s="619" t="str">
        <f>IF(ISNUMBER(Datos!BW9),Datos!BW9," - ")</f>
        <v xml:space="preserve"> - </v>
      </c>
      <c r="BF9" s="667" t="str">
        <f>IF(ISNUMBER(Datos!BX9),Datos!BX9," - ")</f>
        <v xml:space="preserve"> - </v>
      </c>
      <c r="BG9" s="668">
        <f>IF(ISNUMBER(IF(J_V="SI",Datos!K9/Datos!J9,(Datos!K9+Datos!AA9)/(Datos!J9+Datos!Z9))),IF(J_V="SI",Datos!K9/Datos!J9,(Datos!K9+Datos!AA9)/(Datos!J9+Datos!Z9))," - ")</f>
        <v>0.84627647460715094</v>
      </c>
      <c r="BH9" s="669">
        <f>IF(ISNUMBER(((IF(J_V="SI",Datos!L9/Datos!K9,(Datos!L9+Datos!AB9)/(Datos!K9+Datos!AA9)))*11)/factor_trimestre),((IF(J_V="SI",Datos!L9/Datos!K9,(Datos!L9+Datos!AB9)/(Datos!K9+Datos!AA9)))*11)/factor_trimestre," - ")</f>
        <v>7.2465016146393983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-5.9000103508953525E-3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171</v>
      </c>
      <c r="G10" s="497">
        <f>IF(ISNUMBER(Datos!I10),Datos!I10," - ")</f>
        <v>171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35</v>
      </c>
      <c r="AC10" s="501">
        <f>IF(ISNUMBER(Datos!Q10),Datos!Q10," - ")</f>
        <v>7</v>
      </c>
      <c r="AD10" s="503"/>
      <c r="AE10" s="516"/>
      <c r="AF10" s="505">
        <f>IF(ISNUMBER(Datos!L10),Datos!L10,"-")</f>
        <v>177</v>
      </c>
      <c r="AG10" s="503"/>
      <c r="AH10" s="503"/>
      <c r="AI10" s="503"/>
      <c r="AJ10" s="503"/>
      <c r="AK10" s="503"/>
      <c r="AL10" s="504"/>
      <c r="AM10" s="671">
        <f>IF(ISNUMBER(Datos!R10),Datos!R10," - ")</f>
        <v>106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0</v>
      </c>
      <c r="BE10" s="619" t="str">
        <f>IF(ISNUMBER(Datos!BW10),Datos!BW10," - ")</f>
        <v xml:space="preserve"> - </v>
      </c>
      <c r="BF10" s="667" t="str">
        <f>IF(ISNUMBER(Datos!BX10),Datos!BX10," - ")</f>
        <v xml:space="preserve"> - </v>
      </c>
      <c r="BG10" s="668">
        <f>IF(ISNUMBER(Datos!K10/Datos!J10),Datos!K10/Datos!J10," - ")</f>
        <v>0.85365853658536583</v>
      </c>
      <c r="BH10" s="669">
        <f>IF(ISNUMBER(((Datos!L10/Datos!K10)*11)/factor_trimestre),((Datos!L10/Datos!K10)*11)/factor_trimestre," - ")</f>
        <v>15.171428571428571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-1.8518518518518517E-2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1024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f>IF(ISNUMBER(((IF(J_V="SI",Datos!L12/Datos!K12,(Datos!L12+Datos!AB12)/(Datos!K12+Datos!AA12)))*11)/factor_trimestre),((IF(J_V="SI",Datos!L12/Datos!K12,(Datos!L12+Datos!AB12)/(Datos!K12+Datos!AA12)))*11)/factor_trimestre," - ")</f>
        <v>0</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-2.2900763358778626E-2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171</v>
      </c>
      <c r="G13" s="1044">
        <f t="shared" si="0"/>
        <v>171</v>
      </c>
      <c r="H13" s="1045">
        <f t="shared" si="0"/>
        <v>0</v>
      </c>
      <c r="I13" s="1044">
        <f t="shared" si="0"/>
        <v>0</v>
      </c>
      <c r="J13" s="1013">
        <f t="shared" si="0"/>
        <v>0</v>
      </c>
      <c r="K13" s="1013">
        <f t="shared" si="0"/>
        <v>0</v>
      </c>
      <c r="L13" s="1045">
        <f t="shared" si="0"/>
        <v>0</v>
      </c>
      <c r="M13" s="1045">
        <f t="shared" si="0"/>
        <v>0</v>
      </c>
      <c r="N13" s="1045">
        <f t="shared" si="0"/>
        <v>131</v>
      </c>
      <c r="O13" s="1046">
        <f t="shared" si="0"/>
        <v>0</v>
      </c>
      <c r="P13" s="1046">
        <f t="shared" si="0"/>
        <v>0</v>
      </c>
      <c r="Q13" s="1045">
        <f t="shared" si="0"/>
        <v>546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35</v>
      </c>
      <c r="AC13" s="1045">
        <f t="shared" si="1"/>
        <v>629</v>
      </c>
      <c r="AD13" s="1045">
        <f t="shared" si="1"/>
        <v>0</v>
      </c>
      <c r="AE13" s="1045">
        <f t="shared" si="1"/>
        <v>0</v>
      </c>
      <c r="AF13" s="1045">
        <f t="shared" si="1"/>
        <v>177</v>
      </c>
      <c r="AG13" s="1045">
        <f t="shared" si="1"/>
        <v>0</v>
      </c>
      <c r="AH13" s="1045">
        <f t="shared" si="1"/>
        <v>192</v>
      </c>
      <c r="AI13" s="1045">
        <f t="shared" si="1"/>
        <v>0</v>
      </c>
      <c r="AJ13" s="1045">
        <f t="shared" si="1"/>
        <v>0</v>
      </c>
      <c r="AK13" s="1045">
        <f t="shared" si="1"/>
        <v>0</v>
      </c>
      <c r="AL13" s="1045">
        <f t="shared" si="1"/>
        <v>0</v>
      </c>
      <c r="AM13" s="1045">
        <f t="shared" si="1"/>
        <v>10734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792</v>
      </c>
      <c r="BD13" s="1045">
        <f t="shared" si="1"/>
        <v>1575</v>
      </c>
      <c r="BE13" s="1045">
        <f t="shared" si="1"/>
        <v>0</v>
      </c>
      <c r="BF13" s="1045">
        <f t="shared" si="1"/>
        <v>0</v>
      </c>
      <c r="BG13" s="1045">
        <f>IF(ISNUMBER(Datos!K13/Datos!J13),Datos!K13/Datos!J13," - ")</f>
        <v>0.83050453382934197</v>
      </c>
      <c r="BH13" s="1049">
        <f>IF(ISNUMBER(((Datos!L13/Datos!K13)*11)/factor_trimestre),((Datos!L13/Datos!K13)*11)/factor_trimestre," - ")</f>
        <v>7.5260358342665183</v>
      </c>
      <c r="BI13" s="1045">
        <f>IF(ISNUMBER('Resol  Asuntos'!D13/NºAsuntos!G13),'Resol  Asuntos'!D13/NºAsuntos!G13," - ")</f>
        <v>0.21108742004264391</v>
      </c>
      <c r="BJ13" s="1045" t="str">
        <f>IF(ISNUMBER(Datos!CI13/Datos!CJ13),Datos!CI13/Datos!CJ13," - ")</f>
        <v xml:space="preserve"> - </v>
      </c>
      <c r="BK13" s="1045">
        <f>SUBTOTAL(9,BK8:BK12)</f>
        <v>0</v>
      </c>
      <c r="BL13" s="1045">
        <f>IF(ISNUMBER((I13-AB13+L13)/(F13)),(I13-AB13+L13)/(F13)," - ")</f>
        <v>-0.2046783625730994</v>
      </c>
      <c r="BM13" s="1050">
        <f>SUBTOTAL(9,BM9:BM12)</f>
        <v>-4.7319292228192492E-2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2321</v>
      </c>
      <c r="G15" s="650">
        <f>IF(ISNUMBER(IF(D_I="SI",Datos!I15,Datos!I15+Datos!AC15)),IF(D_I="SI",Datos!I15,Datos!I15+Datos!AC15)," - ")</f>
        <v>2385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2062</v>
      </c>
      <c r="AC15" s="230">
        <f>IF(ISNUMBER(Datos!Q15),Datos!Q15," - ")</f>
        <v>77</v>
      </c>
      <c r="AD15" s="343"/>
      <c r="AE15" s="515"/>
      <c r="AF15" s="648">
        <f>IF(ISNUMBER(IF(D_I="SI",Datos!L15,Datos!L15+Datos!AF15)),IF(D_I="SI",Datos!L15,Datos!L15+Datos!AF15)," - ")</f>
        <v>2669</v>
      </c>
      <c r="AG15" s="343"/>
      <c r="AH15" s="343"/>
      <c r="AI15" s="343"/>
      <c r="AJ15" s="503"/>
      <c r="AK15" s="343"/>
      <c r="AL15" s="499"/>
      <c r="AM15" s="344">
        <f>IF(ISNUMBER(Datos!R15),Datos!R15," - ")</f>
        <v>486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325</v>
      </c>
      <c r="BD15" s="233">
        <f>IF(ISNUMBER(Datos!N15),Datos!N15," - ")</f>
        <v>1326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0.8556016597510373</v>
      </c>
      <c r="BH15" s="669">
        <f>IF(ISNUMBER(((IF(D_I="SI",Datos!L15/Datos!K15,(Datos!L15+Datos!AF15)/(Datos!K15+Datos!AE15)))*11)/factor_trimestre),((IF(D_I="SI",Datos!L15/Datos!K15,(Datos!L15+Datos!AF15)/(Datos!K15+Datos!AE15)))*11)/factor_trimestre," - ")</f>
        <v>3.8831231813773037</v>
      </c>
      <c r="BI15" s="247">
        <f>IF(ISNUMBER('Resol  Asuntos'!D15/NºAsuntos!G15),'Resol  Asuntos'!D15/NºAsuntos!G15," - ")</f>
        <v>0.15761396702230843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5</v>
      </c>
      <c r="G16" s="650">
        <f>IF(ISNUMBER(IF(D_I="SI",Datos!I16,Datos!I16+Datos!AC16)),IF(D_I="SI",Datos!I16,Datos!I16+Datos!AC16)," - ")</f>
        <v>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v>
      </c>
      <c r="AC16" s="230">
        <f>IF(ISNUMBER(Datos!Q16),Datos!Q16," - ")</f>
        <v>0</v>
      </c>
      <c r="AD16" s="343"/>
      <c r="AE16" s="515"/>
      <c r="AF16" s="648">
        <f>IF(ISNUMBER(IF(D_I="SI",Datos!L16,Datos!L16+Datos!AF16)),IF(D_I="SI",Datos!L16,Datos!L16+Datos!AF16)," - ")</f>
        <v>5</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v>
      </c>
      <c r="BH16" s="669">
        <f>IF(ISNUMBER(((IF(D_I="SI",Datos!L16/Datos!K16,(Datos!L16+Datos!AF16)/(Datos!K16+Datos!AE16)))*11)/factor_trimestre),((IF(D_I="SI",Datos!L16/Datos!K16,(Datos!L16+Datos!AF16)/(Datos!K16+Datos!AE16)))*11)/factor_trimestre," - ")</f>
        <v>15</v>
      </c>
      <c r="BI16" s="247">
        <f>IF(ISNUMBER('Resol  Asuntos'!D16/NºAsuntos!G16),'Resol  Asuntos'!D16/NºAsuntos!G16," - ")</f>
        <v>0</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128</v>
      </c>
      <c r="AC17" s="501">
        <f>IF(ISNUMBER(Datos!Q17),Datos!Q17," - ")</f>
        <v>51</v>
      </c>
      <c r="AD17" s="503"/>
      <c r="AE17" s="515"/>
      <c r="AF17" s="505">
        <f>IF(ISNUMBER(Datos!L17),Datos!L17,"-")</f>
        <v>227</v>
      </c>
      <c r="AG17" s="503"/>
      <c r="AH17" s="503"/>
      <c r="AI17" s="503"/>
      <c r="AJ17" s="503"/>
      <c r="AK17" s="503"/>
      <c r="AL17" s="504"/>
      <c r="AM17" s="671">
        <f>IF(ISNUMBER(Datos!R17),Datos!R17," - ")</f>
        <v>77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66</v>
      </c>
      <c r="BD17" s="619">
        <f>IF(ISNUMBER(Datos!N17),Datos!N17," - ")</f>
        <v>101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0.75739644970414199</v>
      </c>
      <c r="BH17" s="669">
        <f>IF(ISNUMBER(((IF(D_I="SI",Datos!L17/Datos!K17,(Datos!L17+Datos!AF17)/(Datos!K17+Datos!AE17)))*11)/factor_trimestre),((IF(D_I="SI",Datos!L17/Datos!K17,(Datos!L17+Datos!AF17)/(Datos!K17+Datos!AE17)))*11)/factor_trimestre," - ")</f>
        <v>5.3203125</v>
      </c>
      <c r="BI17" s="668">
        <f>IF(ISNUMBER('Resol  Asuntos'!D17/NºAsuntos!G17),'Resol  Asuntos'!D17/NºAsuntos!G17," - ")</f>
        <v>0.515625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2326</v>
      </c>
      <c r="G18" s="1044">
        <f>SUBTOTAL(9,G15:G17)</f>
        <v>2576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2191</v>
      </c>
      <c r="AC18" s="1045">
        <f t="shared" si="4"/>
        <v>128</v>
      </c>
      <c r="AD18" s="1045">
        <f t="shared" si="4"/>
        <v>0</v>
      </c>
      <c r="AE18" s="1045">
        <f t="shared" si="4"/>
        <v>0</v>
      </c>
      <c r="AF18" s="1045">
        <f t="shared" si="4"/>
        <v>2901</v>
      </c>
      <c r="AG18" s="1045">
        <f t="shared" si="4"/>
        <v>0</v>
      </c>
      <c r="AH18" s="1045">
        <f t="shared" si="4"/>
        <v>0</v>
      </c>
      <c r="AI18" s="1045">
        <f t="shared" si="4"/>
        <v>0</v>
      </c>
      <c r="AJ18" s="1045">
        <f t="shared" si="4"/>
        <v>0</v>
      </c>
      <c r="AK18" s="1045">
        <f t="shared" si="4"/>
        <v>0</v>
      </c>
      <c r="AL18" s="1045">
        <f t="shared" si="4"/>
        <v>0</v>
      </c>
      <c r="AM18" s="1045">
        <f t="shared" si="4"/>
        <v>563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391</v>
      </c>
      <c r="BD18" s="1045">
        <f t="shared" si="4"/>
        <v>1428</v>
      </c>
      <c r="BE18" s="1045">
        <f t="shared" si="4"/>
        <v>0</v>
      </c>
      <c r="BF18" s="1045">
        <f t="shared" si="4"/>
        <v>0</v>
      </c>
      <c r="BG18" s="1045">
        <f>IF(ISNUMBER(Datos!K18/Datos!J18),Datos!K18/Datos!J18," - ")</f>
        <v>0.84922480620155039</v>
      </c>
      <c r="BH18" s="1049">
        <f>IF(ISNUMBER(((Datos!L18/Datos!K18)*11)/factor_trimestre),((Datos!L18/Datos!K18)*11)/factor_trimestre," - ")</f>
        <v>3.9721588315837515</v>
      </c>
      <c r="BI18" s="1045">
        <f>SUBTOTAL(9,BI15:BI17)</f>
        <v>0.67323896702230845</v>
      </c>
      <c r="BJ18" s="1045">
        <f>SUBTOTAL(9,BJ15:BJ17)</f>
        <v>0</v>
      </c>
      <c r="BK18" s="1045">
        <f>SUBTOTAL(9,BK15:BK17)</f>
        <v>0</v>
      </c>
      <c r="BL18" s="1045">
        <f>IF(ISNUMBER((I18-AB18+L18)/(F18)),(I18-AB18+L18)/(F18)," - ")</f>
        <v>-0.94196044711951854</v>
      </c>
      <c r="BM18" s="1051">
        <f>IF(ISNUMBER((Datos!P18-Datos!Q18)/(Datos!R18-Datos!P18+Datos!Q18)),(Datos!P18-Datos!Q18)/(Datos!R18-Datos!P18+Datos!Q18)," - ")</f>
        <v>-2.7633851468048358E-2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9</v>
      </c>
      <c r="F19" s="966">
        <f t="shared" si="6"/>
        <v>2497</v>
      </c>
      <c r="G19" s="966">
        <f t="shared" si="6"/>
        <v>2747</v>
      </c>
      <c r="H19" s="968">
        <f t="shared" si="6"/>
        <v>0</v>
      </c>
      <c r="I19" s="966">
        <f t="shared" si="6"/>
        <v>0</v>
      </c>
      <c r="J19" s="968">
        <f t="shared" si="6"/>
        <v>0</v>
      </c>
      <c r="K19" s="968">
        <f t="shared" si="6"/>
        <v>0</v>
      </c>
      <c r="L19" s="1027">
        <f t="shared" si="6"/>
        <v>0</v>
      </c>
      <c r="M19" s="1027">
        <f t="shared" si="6"/>
        <v>0</v>
      </c>
      <c r="N19" s="1027">
        <f t="shared" si="6"/>
        <v>131</v>
      </c>
      <c r="O19" s="1027">
        <f t="shared" si="6"/>
        <v>0</v>
      </c>
      <c r="P19" s="1027">
        <f t="shared" si="6"/>
        <v>0</v>
      </c>
      <c r="Q19" s="968">
        <f t="shared" si="6"/>
        <v>658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2226</v>
      </c>
      <c r="AC19" s="967">
        <f t="shared" si="7"/>
        <v>757</v>
      </c>
      <c r="AD19" s="967">
        <f t="shared" si="7"/>
        <v>0</v>
      </c>
      <c r="AE19" s="967">
        <f t="shared" si="7"/>
        <v>0</v>
      </c>
      <c r="AF19" s="974">
        <f t="shared" si="7"/>
        <v>3078</v>
      </c>
      <c r="AG19" s="974">
        <f t="shared" si="7"/>
        <v>0</v>
      </c>
      <c r="AH19" s="974">
        <f t="shared" si="7"/>
        <v>192</v>
      </c>
      <c r="AI19" s="974">
        <f t="shared" si="7"/>
        <v>0</v>
      </c>
      <c r="AJ19" s="967">
        <f t="shared" si="7"/>
        <v>0</v>
      </c>
      <c r="AK19" s="974">
        <f t="shared" si="7"/>
        <v>0</v>
      </c>
      <c r="AL19" s="974">
        <f t="shared" si="7"/>
        <v>0</v>
      </c>
      <c r="AM19" s="974">
        <f t="shared" si="7"/>
        <v>11297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1183</v>
      </c>
      <c r="BD19" s="966">
        <f t="shared" si="7"/>
        <v>3003</v>
      </c>
      <c r="BE19" s="966">
        <f t="shared" si="7"/>
        <v>0</v>
      </c>
      <c r="BF19" s="976">
        <f t="shared" si="7"/>
        <v>0</v>
      </c>
      <c r="BG19" s="1061">
        <f>IF(ISNUMBER(Datos!K19/Datos!J19),Datos!K19/Datos!J19," - ")</f>
        <v>0.83752361575352419</v>
      </c>
      <c r="BH19" s="1061">
        <f>IF(ISNUMBER(((Datos!L19/Datos!K19)*11)/factor_trimestre),((Datos!L19/Datos!K19)*11)/factor_trimestre," - ")</f>
        <v>6.174908901613744</v>
      </c>
      <c r="BI19" s="959">
        <f>IF(ISNUMBER(Datos!J19/Datos!I19),Datos!J19/Datos!I19," - ")</f>
        <v>0.63665803108808294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-0.89146976371645981</v>
      </c>
      <c r="BM19" s="1035">
        <f>IF(ISNUMBER((Datos!P19-Datos!Q19+R19)/(Datos!R19-Datos!P19+Datos!Q19-R19)),(Datos!P19-Datos!Q19+R19)/(Datos!R19-Datos!P19+Datos!Q19-R19)," - ")</f>
        <v>-8.6872586872586872E-3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915.66666666666663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2.598076211353316</v>
      </c>
      <c r="F21" s="599">
        <f>IF(ISNUMBER(STDEV(F8:F18)),STDEV(F8:F18),"-")</f>
        <v>1211.1788472393332</v>
      </c>
      <c r="G21" s="600">
        <f>IF(ISNUMBER(STDEV(G8:G18)),STDEV(G8:G18),"-")</f>
        <v>1215.4366567891009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1074.0368708754834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337.83459604622243</v>
      </c>
      <c r="BD21" s="599"/>
      <c r="BE21" s="599">
        <f>IF(ISNUMBER(STDEV(BE8:BE18)),STDEV(BE8:BE18),"-")</f>
        <v>0</v>
      </c>
      <c r="BF21" s="604">
        <f>IF(ISNUMBER(STDEV(BF8:BF18)),STDEV(BF8:BF18),"-")</f>
        <v>0</v>
      </c>
      <c r="BG21" s="914">
        <f>IF(ISNUMBER(STDEV(BG8:BG18)),STDEV(BG8:BG18),"-")</f>
        <v>7.2174219261110145E-2</v>
      </c>
      <c r="BH21" s="918">
        <f>IF(ISNUMBER(STDEV(BH8:BH18)),STDEV(BH8:BH18),"-")</f>
        <v>5.3619325923908594</v>
      </c>
      <c r="BI21" s="253">
        <f>IF(ISNUMBER(STDEV(BI8:BI18)),STDEV(BI8:BI18),"-")</f>
        <v>0.27537154100979605</v>
      </c>
      <c r="BJ21" s="234" t="str">
        <f>IF(ISNUMBER(BL21/BM21),BL21/BM21," - ")</f>
        <v xml:space="preserve"> - </v>
      </c>
      <c r="BK21" s="626"/>
      <c r="BL21" s="607">
        <f>IF(ISNUMBER(STDEV(BL8:BL18)),STDEV(BL8:BL18),"-")</f>
        <v>0.52133716163012656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bpjcCVVgWiIS05RfovNGF5JHwa141ncy4kCafubQmDuXrvHG1Ivb3rgRc9X7NIA9MQIecFUQi4DpZR1m+s+6w==" saltValue="zPhZ59hSiSzzqGidvlSy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TELDE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538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595</v>
      </c>
      <c r="AA9" s="505" t="str">
        <f>IF(ISNUMBER(IF(J_V="SI",Datos!L9,Datos!L9+Datos!AB9)-IF(Monitorios="SI",Datos!CD9,0)),
                          IF(J_V="SI",Datos!L9,Datos!L9+Datos!AB9)-IF(Monitorios="SI",Datos!CD9,0),
                          " - ")</f>
        <v xml:space="preserve"> - </v>
      </c>
      <c r="AB9" s="503"/>
      <c r="AC9" s="503"/>
      <c r="AD9" s="516"/>
      <c r="AE9" s="516">
        <f>IF(ISNUMBER(Datos!R9),Datos!R9," - ")</f>
        <v>9604</v>
      </c>
      <c r="AF9" s="619" t="str">
        <f>IF(ISNUMBER(Datos!BV9),Datos!BV9," - ")</f>
        <v xml:space="preserve"> - </v>
      </c>
      <c r="AG9" s="506" t="str">
        <f>IF(ISNUMBER(Datos!DV9),Datos!DV9," - ")</f>
        <v xml:space="preserve"> - </v>
      </c>
      <c r="AH9" s="507"/>
      <c r="AI9" s="508"/>
      <c r="AJ9" s="506">
        <f>IF(ISNUMBER(Datos!M9),Datos!M9," - ")</f>
        <v>780</v>
      </c>
      <c r="AK9" s="619">
        <f>IF(ISNUMBER(Datos!N9),Datos!N9," - ")</f>
        <v>1575</v>
      </c>
      <c r="AL9" s="619" t="str">
        <f>IF(ISNUMBER(Datos!BW9),Datos!BW9," - ")</f>
        <v xml:space="preserve"> - </v>
      </c>
      <c r="AM9" s="667" t="str">
        <f>IF(ISNUMBER(Datos!BX9),Datos!BX9," - ")</f>
        <v xml:space="preserve"> - </v>
      </c>
      <c r="AN9" s="668"/>
      <c r="AO9" s="669">
        <f>IF(ISNUMBER(((NºAsuntos!I9/NºAsuntos!G9)*11)/factor_trimestre),((NºAsuntos!I9/NºAsuntos!G9)*11)/factor_trimestre," - ")</f>
        <v>7.2465016146393983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-5.9000103508953525E-3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171</v>
      </c>
      <c r="G10" s="506">
        <f>IF(ISNUMBER(Datos!I10),Datos!I10," - ")</f>
        <v>171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35</v>
      </c>
      <c r="Z10" s="703">
        <f>IF(ISNUMBER(Datos!Q10),Datos!Q10," - ")</f>
        <v>7</v>
      </c>
      <c r="AA10" s="505">
        <f>IF(ISNUMBER(Datos!L10),Datos!L10,"-")</f>
        <v>177</v>
      </c>
      <c r="AB10" s="503"/>
      <c r="AC10" s="503"/>
      <c r="AD10" s="516"/>
      <c r="AE10" s="516">
        <f>IF(ISNUMBER(Datos!R10),Datos!R10," - ")</f>
        <v>106</v>
      </c>
      <c r="AF10" s="619" t="str">
        <f>IF(ISNUMBER(Datos!BV10),Datos!BV10," - ")</f>
        <v xml:space="preserve"> - </v>
      </c>
      <c r="AG10" s="506" t="str">
        <f>IF(ISNUMBER(Datos!DV10),Datos!DV10," - ")</f>
        <v xml:space="preserve"> - </v>
      </c>
      <c r="AH10" s="507"/>
      <c r="AI10" s="508"/>
      <c r="AJ10" s="506">
        <f>IF(ISNUMBER(Datos!M10),Datos!M10," - ")</f>
        <v>12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15.171428571428571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-1.8518518518518517E-2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v>
      </c>
      <c r="AA12" s="505" t="str">
        <f>IF(ISNUMBER(IF(J_V="SI",Datos!L12,Datos!L12+Datos!AB12)-IF(Monitorios="SI",Datos!CD12,0)),
                          IF(J_V="SI",Datos!L12,Datos!L12+Datos!AB12)-IF(Monitorios="SI",Datos!CD12,0),
                          " - ")</f>
        <v xml:space="preserve"> - </v>
      </c>
      <c r="AB12" s="503"/>
      <c r="AC12" s="503"/>
      <c r="AD12" s="516"/>
      <c r="AE12" s="516">
        <f>IF(ISNUMBER(Datos!R12),Datos!R12," - ")</f>
        <v>1024</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0</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-2.2900763358778626E-2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171</v>
      </c>
      <c r="G13" s="1044">
        <f>SUBTOTAL(9,G8:G12)</f>
        <v>171</v>
      </c>
      <c r="H13" s="1054"/>
      <c r="I13" s="1044">
        <f t="shared" ref="I13:N13" si="0">SUBTOTAL(9,I8:I12)</f>
        <v>0</v>
      </c>
      <c r="J13" s="1013">
        <f t="shared" si="0"/>
        <v>0</v>
      </c>
      <c r="K13" s="1054">
        <f t="shared" si="0"/>
        <v>0</v>
      </c>
      <c r="L13" s="1054">
        <f t="shared" si="0"/>
        <v>0</v>
      </c>
      <c r="M13" s="1054">
        <f t="shared" si="0"/>
        <v>0</v>
      </c>
      <c r="N13" s="1054">
        <f t="shared" si="0"/>
        <v>546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35</v>
      </c>
      <c r="Z13" s="1053">
        <f t="shared" si="2"/>
        <v>629</v>
      </c>
      <c r="AA13" s="1046">
        <f t="shared" si="2"/>
        <v>177</v>
      </c>
      <c r="AB13" s="1046">
        <f t="shared" si="2"/>
        <v>0</v>
      </c>
      <c r="AC13" s="1046">
        <f t="shared" si="2"/>
        <v>0</v>
      </c>
      <c r="AD13" s="1046">
        <f t="shared" si="2"/>
        <v>0</v>
      </c>
      <c r="AE13" s="1046">
        <f t="shared" si="2"/>
        <v>10734</v>
      </c>
      <c r="AF13" s="1054">
        <f t="shared" si="2"/>
        <v>0</v>
      </c>
      <c r="AG13" s="1054">
        <f t="shared" si="2"/>
        <v>0</v>
      </c>
      <c r="AH13" s="1054">
        <f t="shared" si="2"/>
        <v>0</v>
      </c>
      <c r="AI13" s="1054">
        <f t="shared" si="2"/>
        <v>0</v>
      </c>
      <c r="AJ13" s="1054">
        <f t="shared" si="2"/>
        <v>792</v>
      </c>
      <c r="AK13" s="1054">
        <f t="shared" si="2"/>
        <v>1575</v>
      </c>
      <c r="AL13" s="1054">
        <f t="shared" si="2"/>
        <v>0</v>
      </c>
      <c r="AM13" s="1054">
        <f t="shared" si="2"/>
        <v>0</v>
      </c>
      <c r="AN13" s="1054">
        <f t="shared" si="2"/>
        <v>0</v>
      </c>
      <c r="AO13" s="1050">
        <f>IF(ISNUMBER(((NºAsuntos!I13/NºAsuntos!G13)*11)/factor_trimestre),((NºAsuntos!I13/NºAsuntos!G13)*11)/factor_trimestre," - ")</f>
        <v>7.3184968017057566</v>
      </c>
      <c r="AP13" s="1056" t="str">
        <f>IF(ISNUMBER(Datos!CI13/Datos!CJ13),Datos!CI13/Datos!CJ13," - ")</f>
        <v xml:space="preserve"> - </v>
      </c>
      <c r="AQ13" s="1074">
        <f t="shared" ref="AQ13:AV13" si="3">SUBTOTAL(9,AQ9:AQ12)</f>
        <v>0</v>
      </c>
      <c r="AR13" s="1074">
        <f t="shared" si="3"/>
        <v>-4.7319292228192492E-2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2321</v>
      </c>
      <c r="G15" s="506">
        <f>IF(ISNUMBER(IF(D_I="SI",Datos!I15,Datos!I15+Datos!AC15)),IF(D_I="SI",Datos!I15,Datos!I15+Datos!AC15)," - ")</f>
        <v>2385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2062</v>
      </c>
      <c r="Z15" s="703">
        <f>IF(ISNUMBER(Datos!Q15),Datos!Q15," - ")</f>
        <v>77</v>
      </c>
      <c r="AA15" s="505">
        <f>IF(ISNUMBER(IF(D_I="SI",Datos!L15,Datos!L15+Datos!AF15)),IF(D_I="SI",Datos!L15,Datos!L15+Datos!AF15)," - ")</f>
        <v>2669</v>
      </c>
      <c r="AB15" s="503"/>
      <c r="AC15" s="503"/>
      <c r="AD15" s="516"/>
      <c r="AE15" s="516">
        <f>IF(ISNUMBER(Datos!R15),Datos!R15," - ")</f>
        <v>486</v>
      </c>
      <c r="AF15" s="619" t="str">
        <f>IF(ISNUMBER(Datos!BV15),Datos!BV15," - ")</f>
        <v xml:space="preserve"> - </v>
      </c>
      <c r="AG15" s="506"/>
      <c r="AH15" s="507"/>
      <c r="AI15" s="508"/>
      <c r="AJ15" s="506">
        <f>IF(ISNUMBER(Datos!M15),Datos!M15," - ")</f>
        <v>325</v>
      </c>
      <c r="AK15" s="619">
        <f>IF(ISNUMBER(Datos!N15),Datos!N15," - ")</f>
        <v>1326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3.8831231813773037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5</v>
      </c>
      <c r="G16" s="506">
        <f>IF(ISNUMBER(IF(D_I="SI",Datos!I16,Datos!I16+Datos!AC16)),IF(D_I="SI",Datos!I16,Datos!I16+Datos!AC16)," - ")</f>
        <v>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v>
      </c>
      <c r="Z16" s="703">
        <f>IF(ISNUMBER(Datos!Q16),Datos!Q16," - ")</f>
        <v>0</v>
      </c>
      <c r="AA16" s="505">
        <f>IF(ISNUMBER(IF(D_I="SI",Datos!L16,Datos!L16+Datos!AF16)),IF(D_I="SI",Datos!L16,Datos!L16+Datos!AF16)," - ")</f>
        <v>5</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128</v>
      </c>
      <c r="Z17" s="703">
        <f>IF(ISNUMBER(Datos!Q17),Datos!Q17," - ")</f>
        <v>51</v>
      </c>
      <c r="AA17" s="505">
        <f>IF(ISNUMBER(Datos!L17),Datos!L17,"-")</f>
        <v>227</v>
      </c>
      <c r="AB17" s="503"/>
      <c r="AC17" s="503"/>
      <c r="AD17" s="516"/>
      <c r="AE17" s="516">
        <f>IF(ISNUMBER(Datos!R17),Datos!R17," - ")</f>
        <v>77</v>
      </c>
      <c r="AF17" s="619" t="str">
        <f>IF(ISNUMBER(Datos!BV17),Datos!BV17," - ")</f>
        <v xml:space="preserve"> - </v>
      </c>
      <c r="AG17" s="506" t="str">
        <f>IF(ISNUMBER(Datos!DV17),Datos!DV17," - ")</f>
        <v xml:space="preserve"> - </v>
      </c>
      <c r="AH17" s="507"/>
      <c r="AI17" s="508"/>
      <c r="AJ17" s="506">
        <f>IF(ISNUMBER(Datos!M17),Datos!M17," - ")</f>
        <v>66</v>
      </c>
      <c r="AK17" s="619">
        <f>IF(ISNUMBER(Datos!N17),Datos!N17," - ")</f>
        <v>101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5.3203125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2326</v>
      </c>
      <c r="G18" s="1044">
        <f>SUBTOTAL(9,G15:G17)</f>
        <v>2576</v>
      </c>
      <c r="H18" s="1078">
        <f>SUBTOTAL(9,H15:H17)</f>
        <v>0</v>
      </c>
      <c r="I18" s="1057">
        <f>SUBTOTAL(9,I15:I17)</f>
        <v>0</v>
      </c>
      <c r="J18" s="1013">
        <f>SUBTOTAL(9,J14:J17)</f>
        <v>0</v>
      </c>
      <c r="K18" s="1078">
        <f t="shared" ref="K18:S18" si="4">SUBTOTAL(9,K15:K17)</f>
        <v>0</v>
      </c>
      <c r="L18" s="1078">
        <f t="shared" si="4"/>
        <v>0</v>
      </c>
      <c r="M18" s="1078">
        <f t="shared" si="4"/>
        <v>0</v>
      </c>
      <c r="N18" s="1078">
        <f t="shared" si="4"/>
        <v>112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2191</v>
      </c>
      <c r="Z18" s="1078">
        <f t="shared" si="5"/>
        <v>128</v>
      </c>
      <c r="AA18" s="1078">
        <f t="shared" si="5"/>
        <v>2901</v>
      </c>
      <c r="AB18" s="1078">
        <f t="shared" si="5"/>
        <v>0</v>
      </c>
      <c r="AC18" s="1078">
        <f t="shared" si="5"/>
        <v>0</v>
      </c>
      <c r="AD18" s="1078">
        <f t="shared" si="5"/>
        <v>0</v>
      </c>
      <c r="AE18" s="1078">
        <f t="shared" si="5"/>
        <v>563</v>
      </c>
      <c r="AF18" s="1078">
        <f t="shared" si="5"/>
        <v>0</v>
      </c>
      <c r="AG18" s="1078">
        <f t="shared" si="5"/>
        <v>0</v>
      </c>
      <c r="AH18" s="1078">
        <f t="shared" si="5"/>
        <v>0</v>
      </c>
      <c r="AI18" s="1078">
        <f t="shared" si="5"/>
        <v>0</v>
      </c>
      <c r="AJ18" s="1078">
        <f t="shared" si="5"/>
        <v>391</v>
      </c>
      <c r="AK18" s="1078">
        <f t="shared" si="5"/>
        <v>1428</v>
      </c>
      <c r="AL18" s="1078">
        <f t="shared" si="5"/>
        <v>0</v>
      </c>
      <c r="AM18" s="1078">
        <f t="shared" si="5"/>
        <v>0</v>
      </c>
      <c r="AN18" s="1078">
        <f t="shared" si="5"/>
        <v>0</v>
      </c>
      <c r="AO18" s="1080">
        <f>IF(ISNUMBER(((NºAsuntos!I18/NºAsuntos!G18)*11)/factor_trimestre),((NºAsuntos!I18/NºAsuntos!G18)*11)/factor_trimestre," - ")</f>
        <v>3.9721588315837515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2497</v>
      </c>
      <c r="G19" s="966">
        <f t="shared" si="7"/>
        <v>2747</v>
      </c>
      <c r="H19" s="967">
        <f t="shared" si="7"/>
        <v>0</v>
      </c>
      <c r="I19" s="966">
        <f t="shared" si="7"/>
        <v>0</v>
      </c>
      <c r="J19" s="968">
        <f t="shared" si="7"/>
        <v>0</v>
      </c>
      <c r="K19" s="966">
        <f t="shared" si="7"/>
        <v>0</v>
      </c>
      <c r="L19" s="969">
        <f t="shared" si="7"/>
        <v>0</v>
      </c>
      <c r="M19" s="966">
        <f t="shared" si="7"/>
        <v>0</v>
      </c>
      <c r="N19" s="967">
        <f t="shared" si="7"/>
        <v>658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2226</v>
      </c>
      <c r="Z19" s="973">
        <f t="shared" si="8"/>
        <v>757</v>
      </c>
      <c r="AA19" s="974">
        <f t="shared" si="8"/>
        <v>3078</v>
      </c>
      <c r="AB19" s="974">
        <f t="shared" si="8"/>
        <v>0</v>
      </c>
      <c r="AC19" s="974">
        <f t="shared" si="8"/>
        <v>0</v>
      </c>
      <c r="AD19" s="975">
        <f t="shared" si="8"/>
        <v>0</v>
      </c>
      <c r="AE19" s="975">
        <f t="shared" si="8"/>
        <v>11297</v>
      </c>
      <c r="AF19" s="976">
        <f t="shared" si="8"/>
        <v>0</v>
      </c>
      <c r="AG19" s="977">
        <f t="shared" si="8"/>
        <v>0</v>
      </c>
      <c r="AH19" s="978">
        <f t="shared" si="8"/>
        <v>0</v>
      </c>
      <c r="AI19" s="976">
        <f t="shared" si="8"/>
        <v>0</v>
      </c>
      <c r="AJ19" s="966">
        <f t="shared" si="8"/>
        <v>1183</v>
      </c>
      <c r="AK19" s="966">
        <f t="shared" si="8"/>
        <v>3003</v>
      </c>
      <c r="AL19" s="966">
        <f t="shared" si="8"/>
        <v>0</v>
      </c>
      <c r="AM19" s="979">
        <f t="shared" si="8"/>
        <v>0</v>
      </c>
      <c r="AN19" s="969">
        <f>IF(ISNUMBER(Datos!K19/Datos!J19),Datos!K19/Datos!J19," - ")</f>
        <v>0.83752361575352419</v>
      </c>
      <c r="AO19" s="969">
        <f>IF(ISNUMBER(FIND("06",Criterios!A8,1)),(IF(ISNUMBER(((Datos!R19/Datos!Q19)*11)/factor_trimestre),((Datos!R19/Datos!Q19)*11)/factor_trimestre," - ")),(IF(ISNUMBER(((Datos!L19/Datos!K19)*11)/factor_trimestre),((Datos!L19/Datos!K19)*11)/factor_trimestre," - ")))</f>
        <v>6.174908901613744</v>
      </c>
      <c r="AP19" s="980" t="str">
        <f>IF(ISNUMBER(Datos!CI19/Datos!CJ19),Datos!CI19/Datos!CJ19," - ")</f>
        <v xml:space="preserve"> - </v>
      </c>
      <c r="AQ19" s="980">
        <f>IF(OR(ISNUMBER(FIND("01",Criterios!A8,1)),ISNUMBER(FIND("02",Criterios!A8,1)),ISNUMBER(FIND("03",Criterios!A8,1)),ISNUMBER(FIND("04",Criterios!A8,1))),(J19-Y19+K19)/(F19-K19),(I19-Y19+K19)/(F19-K19))</f>
        <v>-0.89146976371645981</v>
      </c>
      <c r="AR19" s="980">
        <f>IF(ISNUMBER((Datos!P19-Datos!Q19+O19)/(Datos!R19-Datos!P19+Datos!Q19-O19)),(Datos!P19-Datos!Q19+O19)/(Datos!R19-Datos!P19+Datos!Q19-O19)," - ")</f>
        <v>-8.6872586872586872E-3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915.66666666666663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1211.1788472393332</v>
      </c>
      <c r="G21" s="600">
        <f>IF(ISNUMBER(STDEV(G8:G18)),STDEV(G8:G18),"-")</f>
        <v>1215.4366567891009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337.83459604622243</v>
      </c>
      <c r="AK21" s="256"/>
      <c r="AL21" s="256">
        <f>IF(ISNUMBER(STDEV(AL8:AL18)),STDEV(AL8:AL18),"-")</f>
        <v>0</v>
      </c>
      <c r="AM21" s="258">
        <f>IF(ISNUMBER(STDEV(AM8:AM18)),STDEV(AM8:AM18),"-")</f>
        <v>0</v>
      </c>
      <c r="AN21" s="586">
        <f>IF(ISNUMBER(STDEV(AN8:AN18)),STDEV(AN8:AN18),"-")</f>
        <v>0</v>
      </c>
      <c r="AO21" s="587">
        <f>IF(ISNUMBER(STDEV(AO8:AO18)),STDEV(AO8:AO18),"-")</f>
        <v>5.3609908894924425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GruT9zbuAbeWK5TTx8YEBxmnKgNtPLizWLaUxmUgT5kWz6QibuK6eenAtSDY60iNYyFAZOHK5kxMlUseI4Eiw==" saltValue="gi6ZqZHim4uZ2uoERfza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WIT4cPyzsSp+Dx+SiB7SYloDbgDP2b8zL5m1YhUpMxMYAHya21Qb4voRSXW8LuyWcR3HKKzjlSHwF8475dQGg==" saltValue="1xpbgLRmLAE5iBxzObVx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9hdfE6+wap1sxXiBbDzljQjhtsSvKpReq4d5pXk38lfRqEnbptCwPfv+woosmc0yQb1TpjL1F7Yhd0kIf6nA==" saltValue="zHZ4v8Xy12nFn7bmf2qB2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TELDE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0.21108742004264391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0.14926134613532666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IYPqh5jvto4A7bedtr25sz32mjQfNn8uGfdIZss8NeI7PUXdxZUANP1EUjv8OIF216E5Du+aiaLfjuR5a0HKQ==" saltValue="yDd6W7KYfN4AiBiALXXU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tFIq7W5TfOxODwvo2Xm5JscvqWcSkb8VI57gRcCrDxE/UWOe/kZKwqJfhalt6U9vQC0xyQfptO2ZgIelHFTglQ==" saltValue="mRn0L0mLG1D7q3mqOtmp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TELDE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8301</v>
      </c>
      <c r="D9" s="415">
        <f>IF(ISNUMBER(C9/Datos!BH9),C9/Datos!BH9," - ")</f>
        <v>1383.5</v>
      </c>
      <c r="E9" s="414">
        <f>IF(ISNUMBER(IF(J_V="SI",Datos!J9,Datos!J9+Datos!Z9)),IF(J_V="SI",Datos!J9,Datos!J9+Datos!Z9)," - ")</f>
        <v>4391</v>
      </c>
      <c r="F9" s="415">
        <f>IF(ISNUMBER(E9/B9),E9/B9," - ")</f>
        <v>731.83333333333337</v>
      </c>
      <c r="G9" s="414">
        <f>IF(ISNUMBER(IF(J_V="SI",Datos!K9,Datos!K9+Datos!AA9)),IF(J_V="SI",Datos!K9,Datos!K9+Datos!AA9)," - ")</f>
        <v>3716</v>
      </c>
      <c r="H9" s="415">
        <f>IF(ISNUMBER(G9/B9),G9/B9," - ")</f>
        <v>619.33333333333337</v>
      </c>
      <c r="I9" s="414">
        <f>IF(ISNUMBER(IF(J_V="SI",Datos!L9,Datos!L9+Datos!AB9)),IF(J_V="SI",Datos!L9,Datos!L9+Datos!AB9)," - ")</f>
        <v>8976</v>
      </c>
      <c r="J9" s="415">
        <f>IF(ISNUMBER(I9/B9),I9/B9," - ")</f>
        <v>1496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171</v>
      </c>
      <c r="D10" s="415">
        <f>IF(ISNUMBER(C10/Datos!BH10),C10/Datos!BH10," - ")</f>
        <v>171</v>
      </c>
      <c r="E10" s="414">
        <f>IF(ISNUMBER(Datos!J10),Datos!J10," - ")</f>
        <v>41</v>
      </c>
      <c r="F10" s="415">
        <f>IF(ISNUMBER(E10/B10),E10/B10," - ")</f>
        <v>41</v>
      </c>
      <c r="G10" s="414">
        <f>IF(ISNUMBER(Datos!K10),Datos!K10," - ")</f>
        <v>35</v>
      </c>
      <c r="H10" s="415">
        <f>IF(ISNUMBER(G10/B10),G10/B10," - ")</f>
        <v>35</v>
      </c>
      <c r="I10" s="414">
        <f>IF(ISNUMBER(Datos!L10),Datos!L10," - ")</f>
        <v>177</v>
      </c>
      <c r="J10" s="415">
        <f>IF(ISNUMBER(I10/B10),I10/B10," - ")</f>
        <v>177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1</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1</v>
      </c>
      <c r="H12" s="415" t="str">
        <f>IF(ISNUMBER(G12/B12),G12/B12," - ")</f>
        <v xml:space="preserve"> - </v>
      </c>
      <c r="I12" s="414">
        <f>IF(ISNUMBER(IF(J_V="SI",Datos!L12,Datos!L12+Datos!AB12)),IF(J_V="SI",Datos!L12,Datos!L12+Datos!AB12)," - ")</f>
        <v>0</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8473</v>
      </c>
      <c r="D13" s="996" t="str">
        <f>IF(ISNUMBER(C13/Datos!BI13),C13/Datos!BI13," - ")</f>
        <v xml:space="preserve"> - </v>
      </c>
      <c r="E13" s="995">
        <f>SUBTOTAL(9,E8:E12)</f>
        <v>4432</v>
      </c>
      <c r="F13" s="996">
        <f>IF(ISNUMBER(E13/B13),E13/B13," - ")</f>
        <v>738.66666666666663</v>
      </c>
      <c r="G13" s="995">
        <f>SUBTOTAL(9,G8:G12)</f>
        <v>3752</v>
      </c>
      <c r="H13" s="996">
        <f>IF(ISNUMBER(G13/B13),G13/B13," - ")</f>
        <v>625.33333333333337</v>
      </c>
      <c r="I13" s="995">
        <f>SUBTOTAL(9,I8:I12)</f>
        <v>9153</v>
      </c>
      <c r="J13" s="996">
        <f>IF(ISNUMBER(I13/B13),I13/B13," - ")</f>
        <v>1525.5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2385</v>
      </c>
      <c r="D15" s="415">
        <f>IF(ISNUMBER(C15/Datos!BH15),C15/Datos!BH15," - ")</f>
        <v>795</v>
      </c>
      <c r="E15" s="414">
        <f>IF(ISNUMBER(IF(D_I="SI",Datos!J15,Datos!J15+Datos!AD15)),IF(D_I="SI",Datos!J15,Datos!J15+Datos!AD15)," - ")</f>
        <v>2410</v>
      </c>
      <c r="F15" s="415">
        <f>IF(ISNUMBER(E15/B15),E15/B15," - ")</f>
        <v>803.33333333333337</v>
      </c>
      <c r="G15" s="414">
        <f>IF(ISNUMBER(IF(D_I="SI",Datos!K15,Datos!K15+Datos!AE15)),IF(D_I="SI",Datos!K15,Datos!K15+Datos!AE15)," - ")</f>
        <v>2062</v>
      </c>
      <c r="H15" s="415">
        <f>IF(ISNUMBER(G15/B15),G15/B15," - ")</f>
        <v>687.33333333333337</v>
      </c>
      <c r="I15" s="414">
        <f>IF(ISNUMBER(IF(D_I="SI",Datos!L15,Datos!L15+Datos!AF15)),IF(D_I="SI",Datos!L15,Datos!L15+Datos!AF15)," - ")</f>
        <v>2669</v>
      </c>
      <c r="J15" s="415">
        <f>IF(ISNUMBER(I15/B15),I15/B15," - ")</f>
        <v>889.66666666666663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5</v>
      </c>
      <c r="D16" s="415" t="str">
        <f>IF(ISNUMBER(C16/Datos!BH16),C16/Datos!BH16," - ")</f>
        <v xml:space="preserve"> - </v>
      </c>
      <c r="E16" s="414">
        <f>IF(ISNUMBER(IF(D_I="SI",Datos!J16,Datos!J16+Datos!AD16)),IF(D_I="SI",Datos!J16,Datos!J16+Datos!AD16)," - ")</f>
        <v>1</v>
      </c>
      <c r="F16" s="415" t="str">
        <f>IF(ISNUMBER(E16/B16),E16/B16," - ")</f>
        <v xml:space="preserve"> - </v>
      </c>
      <c r="G16" s="414">
        <f>IF(ISNUMBER(IF(D_I="SI",Datos!K16,Datos!K16+Datos!AE16)),IF(D_I="SI",Datos!K16,Datos!K16+Datos!AE16)," - ")</f>
        <v>1</v>
      </c>
      <c r="H16" s="415" t="str">
        <f>IF(ISNUMBER(G16/B16),G16/B16," - ")</f>
        <v xml:space="preserve"> - </v>
      </c>
      <c r="I16" s="414">
        <f>IF(ISNUMBER(IF(D_I="SI",Datos!L16,Datos!L16+Datos!AF16)),IF(D_I="SI",Datos!L16,Datos!L16+Datos!AF16)," - ")</f>
        <v>5</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186</v>
      </c>
      <c r="D17" s="415">
        <f>IF(ISNUMBER(C17/Datos!BH17),C17/Datos!BH17," - ")</f>
        <v>186</v>
      </c>
      <c r="E17" s="414">
        <f>IF(ISNUMBER(IF(D_I="SI",Datos!J17,Datos!J17+Datos!AD17)),IF(D_I="SI",Datos!J17,Datos!J17+Datos!AD17)," - ")</f>
        <v>169</v>
      </c>
      <c r="F17" s="415">
        <f>IF(ISNUMBER(E17/B17),E17/B17," - ")</f>
        <v>169</v>
      </c>
      <c r="G17" s="414">
        <f>IF(ISNUMBER(IF(D_I="SI",Datos!K17,Datos!K17+Datos!AE17)),IF(D_I="SI",Datos!K17,Datos!K17+Datos!AE17)," - ")</f>
        <v>128</v>
      </c>
      <c r="H17" s="415">
        <f>IF(ISNUMBER(G17/B17),G17/B17," - ")</f>
        <v>128</v>
      </c>
      <c r="I17" s="414">
        <f>IF(ISNUMBER(IF(D_I="SI",Datos!L17,Datos!L17+Datos!AF17)),IF(D_I="SI",Datos!L17,Datos!L17+Datos!AF17)," - ")</f>
        <v>227</v>
      </c>
      <c r="J17" s="415">
        <f>IF(ISNUMBER(I17/B17),I17/B17," - ")</f>
        <v>227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2576</v>
      </c>
      <c r="D18" s="996" t="str">
        <f>IF(ISNUMBER(C18/Datos!BI18),C18/Datos!BI18," - ")</f>
        <v xml:space="preserve"> - </v>
      </c>
      <c r="E18" s="995">
        <f>SUBTOTAL(9,E14:E17)</f>
        <v>2580</v>
      </c>
      <c r="F18" s="996">
        <f>IF(ISNUMBER(E18/B18),E18/B18," - ")</f>
        <v>860</v>
      </c>
      <c r="G18" s="995">
        <f>SUBTOTAL(9,G14:G17)</f>
        <v>2191</v>
      </c>
      <c r="H18" s="996">
        <f>IF(ISNUMBER(G18/B18),G18/B18," - ")</f>
        <v>730.33333333333337</v>
      </c>
      <c r="I18" s="995">
        <f>SUBTOTAL(9,I14:I17)</f>
        <v>2901</v>
      </c>
      <c r="J18" s="996">
        <f>IF(ISNUMBER(I18/B18),I18/B18," - ")</f>
        <v>967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11049</v>
      </c>
      <c r="D19" s="941" t="str">
        <f>IF(ISNUMBER(C19/Datos!BI19),C19/Datos!BI19," - ")</f>
        <v xml:space="preserve"> - </v>
      </c>
      <c r="E19" s="940">
        <f>SUBTOTAL(9,E9:E18)</f>
        <v>7012</v>
      </c>
      <c r="F19" s="941">
        <f>IF(ISNUMBER(E19/B19),E19/B19," - ")</f>
        <v>779.11111111111109</v>
      </c>
      <c r="G19" s="940">
        <f>SUBTOTAL(9,G9:G18)</f>
        <v>5943</v>
      </c>
      <c r="H19" s="941">
        <f>IF(ISNUMBER(G19/B19),G19/B19," - ")</f>
        <v>660.33333333333337</v>
      </c>
      <c r="I19" s="940">
        <f>SUBTOTAL(9,I9:I18)</f>
        <v>12054</v>
      </c>
      <c r="J19" s="941">
        <f>IF(ISNUMBER(I19/B19),I19/B19," - ")</f>
        <v>1339.3333333333333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a3Hj3smdyWX+hx1qJz12ea2NnczOaiVqmEtqOq4f3GRIe8TOUIqFgbCK5I58zxJ7BmI9ycEUHvm+hR2slGXQQ==" saltValue="XT/ino7C1jNXgC8poWXo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TELDE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171</v>
      </c>
      <c r="G10" s="802">
        <f>IF(ISNUMBER(Datos!I10),Datos!I10," - ")</f>
        <v>171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35</v>
      </c>
      <c r="AC10" s="801" t="str">
        <f>IF(ISNUMBER(IF(D_I="SI",DatosP!K17,DatosP!K17+DatosP!AE17)),IF(D_I="SI",DatosP!K17,DatosP!K17+DatosP!AE17)," - ")</f>
        <v xml:space="preserve"> - </v>
      </c>
      <c r="AD10" s="803"/>
      <c r="AE10" s="803"/>
      <c r="AF10" s="806">
        <f>IF(ISNUMBER(Datos!L10),Datos!L10,"-")</f>
        <v>177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15.171428571428571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1024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0</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-2.2900763358778626E-2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171</v>
      </c>
      <c r="G13" s="1084">
        <f t="shared" si="0"/>
        <v>171</v>
      </c>
      <c r="H13" s="1084">
        <f t="shared" si="0"/>
        <v>0</v>
      </c>
      <c r="I13" s="1086">
        <f t="shared" si="0"/>
        <v>0</v>
      </c>
      <c r="J13" s="1085">
        <f t="shared" si="0"/>
        <v>0</v>
      </c>
      <c r="K13" s="1085">
        <f t="shared" si="0"/>
        <v>0</v>
      </c>
      <c r="L13" s="1087">
        <f t="shared" si="0"/>
        <v>0</v>
      </c>
      <c r="M13" s="1087">
        <f t="shared" si="0"/>
        <v>0</v>
      </c>
      <c r="N13" s="1085">
        <f t="shared" si="0"/>
        <v>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35</v>
      </c>
      <c r="AC13" s="1085">
        <f t="shared" si="1"/>
        <v>0</v>
      </c>
      <c r="AD13" s="1085">
        <f t="shared" si="1"/>
        <v>27</v>
      </c>
      <c r="AE13" s="1085">
        <f t="shared" si="1"/>
        <v>0</v>
      </c>
      <c r="AF13" s="1085">
        <f t="shared" si="1"/>
        <v>177</v>
      </c>
      <c r="AG13" s="1085">
        <f t="shared" si="1"/>
        <v>0</v>
      </c>
      <c r="AH13" s="1085">
        <f t="shared" si="1"/>
        <v>1024</v>
      </c>
      <c r="AI13" s="1085">
        <f t="shared" si="1"/>
        <v>0</v>
      </c>
      <c r="AJ13" s="1085">
        <f t="shared" si="1"/>
        <v>0</v>
      </c>
      <c r="AK13" s="1085">
        <f t="shared" si="1"/>
        <v>0</v>
      </c>
      <c r="AL13" s="1085">
        <f t="shared" si="1"/>
        <v>12</v>
      </c>
      <c r="AM13" s="1085">
        <f t="shared" si="1"/>
        <v>0</v>
      </c>
      <c r="AN13" s="1085">
        <f t="shared" si="1"/>
        <v>0</v>
      </c>
      <c r="AO13" s="1085">
        <f t="shared" si="1"/>
        <v>0</v>
      </c>
      <c r="AP13" s="1090">
        <f>IF(ISNUMBER(((Datos!L13/Datos!K13)*11)/factor_trimestre),((Datos!L13/Datos!K13)*11)/factor_trimestre," - ")</f>
        <v>7.5260358342665183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-0.2046783625730994</v>
      </c>
      <c r="AU13" s="1085" t="str">
        <f>IF(ISNUMBER((DatosP!#REF!-DatosP!#REF!+DatosP!#REF!)/(DatosP!#REF!+DatosP!#REF!-DatosP!#REF!-DatosP!#REF!)),(DatosP!#REF!-DatosP!#REF!+DatosP!#REF!)/(DatosP!#REF!+DatosP!#REF!-DatosP!#REF!-DatosP!#REF!)," - ")</f>
        <v xml:space="preserve"> - </v>
      </c>
      <c r="AV13" s="1091">
        <f>SUBTOTAL(9,AV9:AV12)</f>
        <v>-2.2900763358778626E-2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3.9721588315837515</v>
      </c>
      <c r="AQ18" s="1090">
        <f>IF(ISNUMBER(((Datos!M18/Datos!L18)*11)/factor_trimestre),((Datos!M18/Datos!L18)*11)/factor_trimestre," - ")</f>
        <v>0.40434332988624616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-2.7633851468048358E-2</v>
      </c>
      <c r="AW18" s="1092">
        <f>IF(ISNUMBER((Datos!Q18-Datos!R18)/(Datos!S18-Datos!Q18+Datos!R18)),(Datos!Q18-Datos!R18)/(Datos!S18-Datos!Q18+Datos!R18)," - ")</f>
        <v>-0.17078916372202591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171</v>
      </c>
      <c r="G19" s="1097">
        <f t="shared" si="4"/>
        <v>171</v>
      </c>
      <c r="H19" s="1097">
        <f t="shared" si="4"/>
        <v>0</v>
      </c>
      <c r="I19" s="1098">
        <f t="shared" si="4"/>
        <v>0</v>
      </c>
      <c r="J19" s="1099">
        <f t="shared" si="4"/>
        <v>0</v>
      </c>
      <c r="K19" s="1099">
        <f t="shared" si="4"/>
        <v>0</v>
      </c>
      <c r="L19" s="1099">
        <f t="shared" si="4"/>
        <v>0</v>
      </c>
      <c r="M19" s="1099">
        <f t="shared" si="4"/>
        <v>0</v>
      </c>
      <c r="N19" s="1098">
        <f t="shared" si="4"/>
        <v>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35</v>
      </c>
      <c r="AC19" s="1103">
        <f t="shared" si="5"/>
        <v>0</v>
      </c>
      <c r="AD19" s="1103">
        <f t="shared" si="5"/>
        <v>27</v>
      </c>
      <c r="AE19" s="1103">
        <f t="shared" si="5"/>
        <v>0</v>
      </c>
      <c r="AF19" s="1104">
        <f t="shared" si="5"/>
        <v>177</v>
      </c>
      <c r="AG19" s="1104">
        <f t="shared" si="5"/>
        <v>0</v>
      </c>
      <c r="AH19" s="1104">
        <f t="shared" si="5"/>
        <v>1024</v>
      </c>
      <c r="AI19" s="1104">
        <f t="shared" si="5"/>
        <v>0</v>
      </c>
      <c r="AJ19" s="1105">
        <f t="shared" si="5"/>
        <v>0</v>
      </c>
      <c r="AK19" s="1105">
        <f t="shared" si="5"/>
        <v>0</v>
      </c>
      <c r="AL19" s="1097">
        <f t="shared" si="5"/>
        <v>12</v>
      </c>
      <c r="AM19" s="1097">
        <f t="shared" si="5"/>
        <v>0</v>
      </c>
      <c r="AN19" s="1097">
        <f t="shared" si="5"/>
        <v>0</v>
      </c>
      <c r="AO19" s="1097">
        <f t="shared" si="5"/>
        <v>0</v>
      </c>
      <c r="AP19" s="1097">
        <f>IF(ISNUMBER(((Datos!L19/Datos!K19)*11)/factor_trimestre),((Datos!L19/Datos!K19)*11)/factor_trimestre," - ")</f>
        <v>6.174908901613744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-0.2046783625730994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-8.6872586872586872E-3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98.726896031426008</v>
      </c>
      <c r="G21" s="870">
        <f>IF(ISNUMBER(STDEV(G8:G18)),STDEV(G8:G18),"-")</f>
        <v>98.726896031426008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20.207259421636902</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6.449142195035213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1xMPmNX7U2OdtlM1AvzlaULfLEVgy3i34ALkFVIncMoo4ikiOyW97FfUdQyYz0Tj+h2cFbWce7PqweTZdwqW2A==" saltValue="Fx9Ob5ij/D/T1bPHIVgD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TELDE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iq5LQucqci2YrfcRynS8o4k33UCpkajpgZ/aEJt2t72vN/m9ij9GGILxwwnEUpko6HQagg/pVXTaPuP+LSVnQ==" saltValue="p/iokcsqkAFqpjwOMocy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TELDE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780</v>
      </c>
      <c r="E9" s="415">
        <f t="shared" ref="E9:E13" si="0">IF(ISNUMBER(D9/B9),D9/B9," - ")</f>
        <v>130</v>
      </c>
      <c r="F9" s="414">
        <f>IF(ISNUMBER(Datos!N9),Datos!N9," - ")</f>
        <v>1575</v>
      </c>
      <c r="G9" s="415">
        <f t="shared" ref="G9:G13" si="1">IF(ISNUMBER(F9/B9),F9/B9," - ")</f>
        <v>262.5</v>
      </c>
      <c r="H9" s="414">
        <f>IF(ISNUMBER(Datos!O9),Datos!O9," - ")</f>
        <v>1185</v>
      </c>
      <c r="I9" s="415">
        <f>IF(ISNUMBER(H9/B9),H9/B9," - ")</f>
        <v>197.5</v>
      </c>
    </row>
    <row r="10" spans="1:9">
      <c r="A10" s="413" t="str">
        <f>Datos!A10</f>
        <v>Jdos. Violencia contra la mujer</v>
      </c>
      <c r="B10" s="443">
        <f>Datos!AO10</f>
        <v>1</v>
      </c>
      <c r="C10" s="421">
        <f>Datos!AQ10</f>
        <v>0</v>
      </c>
      <c r="D10" s="414">
        <f>IF(ISNUMBER(Datos!M10),Datos!M10," - ")</f>
        <v>12</v>
      </c>
      <c r="E10" s="415">
        <f>IF(ISNUMBER(D10/B10),D10/B10," - ")</f>
        <v>12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8</v>
      </c>
      <c r="I12" s="415" t="str">
        <f t="shared" si="2"/>
        <v xml:space="preserve"> - </v>
      </c>
    </row>
    <row r="13" spans="1:9" ht="14.25" thickTop="1" thickBot="1">
      <c r="A13" s="994" t="str">
        <f>Datos!A13</f>
        <v>TOTAL</v>
      </c>
      <c r="B13" s="995">
        <f>Datos!AO13</f>
        <v>7</v>
      </c>
      <c r="C13" s="997">
        <f>Datos!AR13</f>
        <v>6</v>
      </c>
      <c r="D13" s="995">
        <f>SUBTOTAL(9,D9:D12)</f>
        <v>792</v>
      </c>
      <c r="E13" s="996">
        <f t="shared" si="0"/>
        <v>113.14285714285714</v>
      </c>
      <c r="F13" s="995">
        <f>SUBTOTAL(9,F9:F12)</f>
        <v>1575</v>
      </c>
      <c r="G13" s="996">
        <f t="shared" si="1"/>
        <v>225</v>
      </c>
      <c r="H13" s="995">
        <f>SUBTOTAL(9,H9:H12)</f>
        <v>1193</v>
      </c>
      <c r="I13" s="996">
        <f>IF(ISNUMBER(H13/B13),H13/B13," - ")</f>
        <v>170.42857142857142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325</v>
      </c>
      <c r="E15" s="415">
        <f t="shared" ref="E15:E18" si="3">IF(ISNUMBER(D15/B15),D15/B15," - ")</f>
        <v>108.33333333333333</v>
      </c>
      <c r="F15" s="414">
        <f>IF(ISNUMBER(Datos!N15),Datos!N15," - ")</f>
        <v>1326</v>
      </c>
      <c r="G15" s="415">
        <f t="shared" ref="G15:G18" si="4">IF(ISNUMBER(F15/B15),F15/B15," - ")</f>
        <v>442</v>
      </c>
      <c r="H15" s="414">
        <f>IF(ISNUMBER(Datos!O15),Datos!O15," - ")</f>
        <v>27</v>
      </c>
      <c r="I15" s="415">
        <f t="shared" ref="I15:I17" si="5">IF(ISNUMBER(H15/B15),H15/B15," - ")</f>
        <v>9</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1</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66</v>
      </c>
      <c r="E17" s="415">
        <f>IF(ISNUMBER(D17/B17),D17/B17," - ")</f>
        <v>66</v>
      </c>
      <c r="F17" s="414">
        <f>IF(ISNUMBER(Datos!N17),Datos!N17," - ")</f>
        <v>101</v>
      </c>
      <c r="G17" s="415">
        <f>IF(ISNUMBER(F17/B17),F17/B17," - ")</f>
        <v>101</v>
      </c>
      <c r="H17" s="414">
        <f>IF(ISNUMBER(Datos!O17),Datos!O17," - ")</f>
        <v>0</v>
      </c>
      <c r="I17" s="415">
        <f t="shared" si="5"/>
        <v>0</v>
      </c>
    </row>
    <row r="18" spans="1:9" ht="14.25" thickTop="1" thickBot="1">
      <c r="A18" s="994" t="str">
        <f>Datos!A18</f>
        <v>TOTAL</v>
      </c>
      <c r="B18" s="995">
        <f>Datos!AO18</f>
        <v>4</v>
      </c>
      <c r="C18" s="997">
        <f>Datos!AR18</f>
        <v>3</v>
      </c>
      <c r="D18" s="995">
        <f>SUBTOTAL(9,D15:D17)</f>
        <v>391</v>
      </c>
      <c r="E18" s="996">
        <f t="shared" si="3"/>
        <v>97.75</v>
      </c>
      <c r="F18" s="995">
        <f>SUBTOTAL(9,F15:F17)</f>
        <v>1428</v>
      </c>
      <c r="G18" s="996">
        <f t="shared" si="4"/>
        <v>357</v>
      </c>
      <c r="H18" s="995">
        <f>SUBTOTAL(9,H15:H17)</f>
        <v>27</v>
      </c>
      <c r="I18" s="996">
        <f>IF(ISNUMBER(H18/B18),H18/B18," - ")</f>
        <v>6.75</v>
      </c>
    </row>
    <row r="19" spans="1:9" ht="14.25" thickTop="1" thickBot="1">
      <c r="A19" s="939" t="str">
        <f>Datos!A19</f>
        <v>TOTAL JURISDICCIONES</v>
      </c>
      <c r="B19" s="940">
        <f>Datos!AP19</f>
        <v>9</v>
      </c>
      <c r="C19" s="940">
        <f>Datos!AR19</f>
        <v>9</v>
      </c>
      <c r="D19" s="940">
        <f>SUBTOTAL(9,D8:D18)</f>
        <v>1183</v>
      </c>
      <c r="E19" s="941">
        <f>IF(ISNUMBER(D19/B19),D19/B19," - ")</f>
        <v>131.44444444444446</v>
      </c>
      <c r="F19" s="940">
        <f>SUBTOTAL(9,F8:F18)</f>
        <v>3003</v>
      </c>
      <c r="G19" s="941">
        <f>IF(ISNUMBER(F19/B19),F19/B19," - ")</f>
        <v>333.66666666666669</v>
      </c>
      <c r="H19" s="940">
        <f>SUBTOTAL(9,H8:H18)</f>
        <v>1220</v>
      </c>
      <c r="I19" s="941">
        <f>IF(ISNUMBER(H19/B19),H19/B19," - ")</f>
        <v>135.55555555555554</v>
      </c>
    </row>
    <row r="22" spans="1:9">
      <c r="A22" s="402" t="str">
        <f>Criterios!A4</f>
        <v>Fecha Informe: 06 oct. 2023</v>
      </c>
    </row>
    <row r="27" spans="1:9">
      <c r="A27" s="425"/>
    </row>
  </sheetData>
  <sheetProtection algorithmName="SHA-512" hashValue="IIJXm2z4kMdU5po+ETJ8cOqUTDYOF876MZ/hzFORoeROsp6jc9M/9uvPi0ScRgn7Z5lOpbXhpZhEBho8kGlitg==" saltValue="1ciI9/Pjj0V1B2jlCeX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TELDE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538</v>
      </c>
      <c r="C9" s="450">
        <f>IF(ISNUMBER(Datos!Q9),Datos!Q9," - ")</f>
        <v>595</v>
      </c>
      <c r="D9" s="419">
        <f>IF(ISNUMBER(Datos!R9),Datos!R9," - ")</f>
        <v>9604</v>
      </c>
    </row>
    <row r="10" spans="1:4">
      <c r="A10" s="413" t="str">
        <f>Datos!A10</f>
        <v>Jdos. Violencia contra la mujer</v>
      </c>
      <c r="B10" s="449">
        <f>IF(ISNUMBER(Datos!P10),Datos!P10," - ")</f>
        <v>5</v>
      </c>
      <c r="C10" s="450">
        <f>IF(ISNUMBER(Datos!Q10),Datos!Q10," - ")</f>
        <v>7</v>
      </c>
      <c r="D10" s="419">
        <f>IF(ISNUMBER(Datos!R10),Datos!R10," - ")</f>
        <v>106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v>
      </c>
      <c r="C12" s="450">
        <f>IF(ISNUMBER(Datos!Q12),Datos!Q12," - ")</f>
        <v>27</v>
      </c>
      <c r="D12" s="419">
        <f>IF(ISNUMBER(Datos!R12),Datos!R12," - ")</f>
        <v>1024</v>
      </c>
    </row>
    <row r="13" spans="1:4" ht="14.25" thickTop="1" thickBot="1">
      <c r="A13" s="994" t="str">
        <f>Datos!A13</f>
        <v>TOTAL</v>
      </c>
      <c r="B13" s="995">
        <f>SUBTOTAL(9,B9:B12)</f>
        <v>546</v>
      </c>
      <c r="C13" s="999">
        <f>SUBTOTAL(9,C9:C12)</f>
        <v>629</v>
      </c>
      <c r="D13" s="997">
        <f>SUBTOTAL(9,D9:D12)</f>
        <v>10734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94</v>
      </c>
      <c r="C15" s="450">
        <f>IF(ISNUMBER(Datos!Q15),Datos!Q15," - ")</f>
        <v>77</v>
      </c>
      <c r="D15" s="419">
        <f>IF(ISNUMBER(Datos!R15),Datos!R15," - ")</f>
        <v>486</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18</v>
      </c>
      <c r="C17" s="450">
        <f>IF(ISNUMBER(Datos!Q17),Datos!Q17," - ")</f>
        <v>51</v>
      </c>
      <c r="D17" s="419">
        <f>IF(ISNUMBER(Datos!R17),Datos!R17," - ")</f>
        <v>77</v>
      </c>
    </row>
    <row r="18" spans="1:4" ht="14.25" thickTop="1" thickBot="1">
      <c r="A18" s="994" t="str">
        <f>Datos!A18</f>
        <v>TOTAL</v>
      </c>
      <c r="B18" s="995">
        <f>SUBTOTAL(9,B15:B17)</f>
        <v>112</v>
      </c>
      <c r="C18" s="999">
        <f>SUBTOTAL(9,C15:C17)</f>
        <v>128</v>
      </c>
      <c r="D18" s="997">
        <f>SUBTOTAL(9,D15:D17)</f>
        <v>563</v>
      </c>
    </row>
    <row r="19" spans="1:4" ht="16.5" customHeight="1" thickTop="1" thickBot="1">
      <c r="A19" s="939" t="str">
        <f>Datos!A19</f>
        <v>TOTAL JURISDICCIONES</v>
      </c>
      <c r="B19" s="944">
        <f>SUBTOTAL(9,B8:B18)</f>
        <v>658</v>
      </c>
      <c r="C19" s="945">
        <f>SUBTOTAL(9,C8:C18)</f>
        <v>757</v>
      </c>
      <c r="D19" s="946">
        <f>SUBTOTAL(9,D8:D18)</f>
        <v>11297</v>
      </c>
    </row>
    <row r="20" spans="1:4" ht="7.5" customHeight="1"/>
    <row r="21" spans="1:4" ht="6" customHeight="1"/>
    <row r="22" spans="1:4">
      <c r="A22" s="402" t="str">
        <f>Criterios!A4</f>
        <v>Fecha Informe: 06 oct. 2023</v>
      </c>
    </row>
    <row r="27" spans="1:4">
      <c r="A27" s="425"/>
    </row>
  </sheetData>
  <sheetProtection algorithmName="SHA-512" hashValue="1YxWKJO+uUWi/r2WzQ75IH1s9eVOnsdY+BZq9Q2Jck0wytnG2snuYb8rKBfnI6Hiwl8s5wR9mVSWyiBtaRBVmg==" saltValue="8KqE5w8gl+vbAkMG7TVj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TELDE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0.29561417199937567</v>
      </c>
      <c r="C9" s="472">
        <f>IF(ISNUMBER(
   IF(J_V="SI",(Datos!J9-Datos!T9)/Datos!T9,(Datos!J9+Datos!Z9-(Datos!T9+Datos!AH9))/(Datos!T9+Datos!AH9))
     ),IF(J_V="SI",(Datos!J9-Datos!T9)/Datos!T9,(Datos!J9+Datos!Z9-(Datos!T9+Datos!AH9))/(Datos!T9+Datos!AH9))," - ")</f>
        <v>0.26834199884459847</v>
      </c>
      <c r="D9" s="472">
        <f>IF(ISNUMBER(
   IF(J_V="SI",(Datos!K9-Datos!U9)/Datos!U9,(Datos!K9+Datos!AA9-(Datos!U9+Datos!AI9))/(Datos!U9+Datos!AI9))
     ),IF(J_V="SI",(Datos!K9-Datos!U9)/Datos!U9,(Datos!K9+Datos!AA9-(Datos!U9+Datos!AI9))/(Datos!U9+Datos!AI9))," - ")</f>
        <v>-4.8399487836107556E-2</v>
      </c>
      <c r="E9" s="472">
        <f>IF(ISNUMBER(
   IF(J_V="SI",(Datos!L9-Datos!V9)/Datos!V9,(Datos!L9+Datos!AB9-(Datos!V9+Datos!AJ9))/(Datos!V9+Datos!AJ9))
     ),IF(J_V="SI",(Datos!L9-Datos!V9)/Datos!V9,(Datos!L9+Datos!AB9-(Datos!V9+Datos!AJ9))/(Datos!V9+Datos!AJ9))," - ")</f>
        <v>0.5513307984790875</v>
      </c>
      <c r="F9" s="472">
        <f>IF(ISNUMBER((Datos!M9-Datos!W9)/Datos!W9),(Datos!M9-Datos!W9)/Datos!W9," - ")</f>
        <v>0.19266055045871561</v>
      </c>
      <c r="G9" s="473">
        <f>IF(ISNUMBER((Datos!N9-Datos!X9)/Datos!X9),(Datos!N9-Datos!X9)/Datos!X9," - ")</f>
        <v>-0.19765664798777383</v>
      </c>
      <c r="H9" s="471">
        <f>IF(ISNUMBER(((NºAsuntos!G9/NºAsuntos!E9)-Datos!BD9)/Datos!BD9),((NºAsuntos!G9/NºAsuntos!E9)-Datos!BD9)/Datos!BD9," - ")</f>
        <v>-0.24972876950321221</v>
      </c>
      <c r="I9" s="472">
        <f>IF(ISNUMBER(((NºAsuntos!I9/NºAsuntos!G9)-Datos!BE9)/Datos!BE9),((NºAsuntos!I9/NºAsuntos!G9)-Datos!BE9)/Datos!BE9," - ")</f>
        <v>0.63023325297654376</v>
      </c>
      <c r="J9" s="477">
        <f>IF(ISNUMBER((('Resol  Asuntos'!D9/NºAsuntos!G9)-Datos!BF9)/Datos!BF9),(('Resol  Asuntos'!D9/NºAsuntos!G9)-Datos!BF9)/Datos!BF9," - ")</f>
        <v>-0.58243928171714943</v>
      </c>
      <c r="K9" s="478">
        <f>IF(ISNUMBER((((NºAsuntos!C9+NºAsuntos!E9)/NºAsuntos!G9)-Datos!BG9)/Datos!BG9),(((NºAsuntos!C9+NºAsuntos!E9)/NºAsuntos!G9)-Datos!BG9)/Datos!BG9," - ")</f>
        <v>0.35145704749440493</v>
      </c>
    </row>
    <row r="10" spans="1:11">
      <c r="A10" s="413" t="str">
        <f>Datos!A10</f>
        <v>Jdos. Violencia contra la mujer</v>
      </c>
      <c r="B10" s="471">
        <f>IF(ISNUMBER((Datos!I10-Datos!S10)/Datos!S10),(Datos!I10-Datos!S10)/Datos!S10," - ")</f>
        <v>-0.20093457943925233</v>
      </c>
      <c r="C10" s="472">
        <f>IF(ISNUMBER((Datos!J10-Datos!T10)/Datos!T10),(Datos!J10-Datos!T10)/Datos!T10," - ")</f>
        <v>-0.10869565217391304</v>
      </c>
      <c r="D10" s="472">
        <f>IF(ISNUMBER((Datos!K10-Datos!U10)/Datos!U10),(Datos!K10-Datos!U10)/Datos!U10," - ")</f>
        <v>-0.52702702702702697</v>
      </c>
      <c r="E10" s="472">
        <f>IF(ISNUMBER((Datos!L10-Datos!V10)/Datos!V10),(Datos!L10-Datos!V10)/Datos!V10," - ")</f>
        <v>-4.8387096774193547E-2</v>
      </c>
      <c r="F10" s="472">
        <f>IF(ISNUMBER((Datos!M10-Datos!W10)/Datos!W10),(Datos!M10-Datos!W10)/Datos!W10," - ")</f>
        <v>-0.42857142857142855</v>
      </c>
      <c r="G10" s="473">
        <f>IF(ISNUMBER((Datos!N10-Datos!X10)/Datos!X10),(Datos!N10-Datos!X10)/Datos!X10," - ")</f>
        <v>-1</v>
      </c>
      <c r="H10" s="471">
        <f>IF(ISNUMBER(((NºAsuntos!G10/NºAsuntos!E10)-Datos!BD10)/Datos!BD10),((NºAsuntos!G10/NºAsuntos!E10)-Datos!BD10)/Datos!BD10," - ")</f>
        <v>-0.46934739617666449</v>
      </c>
      <c r="I10" s="472">
        <f>IF(ISNUMBER(((NºAsuntos!I10/NºAsuntos!G10)-Datos!BE10)/Datos!BE10),((NºAsuntos!I10/NºAsuntos!G10)-Datos!BE10)/Datos!BE10," - ")</f>
        <v>1.0119815668202763</v>
      </c>
      <c r="J10" s="477">
        <f>IF(ISNUMBER((('Resol  Asuntos'!D10/NºAsuntos!G10)-Datos!BF10)/Datos!BF10),(('Resol  Asuntos'!D10/NºAsuntos!G10)-Datos!BF10)/Datos!BF10," - ")</f>
        <v>0.2081632653061225</v>
      </c>
      <c r="K10" s="478">
        <f>IF(ISNUMBER((((NºAsuntos!C10+NºAsuntos!E10)/NºAsuntos!G10)-Datos!BG10)/Datos!BG10),(((NºAsuntos!C10+NºAsuntos!E10)/NºAsuntos!G10)-Datos!BG10)/Datos!BG10," - ")</f>
        <v>0.72395604395604385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f>IF(ISNUMBER(
   IF(J_V="SI",(Datos!J12-Datos!T12)/Datos!T12,(Datos!J12+Datos!Z12-(Datos!T12+Datos!AH12))/(Datos!T12+Datos!AH12))
     ),IF(J_V="SI",(Datos!J12-Datos!T12)/Datos!T12,(Datos!J12+Datos!Z12-(Datos!T12+Datos!AH12))/(Datos!T12+Datos!AH12))," - ")</f>
        <v>-1</v>
      </c>
      <c r="D12" s="472">
        <f>IF(ISNUMBER(
   IF(J_V="SI",(Datos!K12-Datos!U12)/Datos!U12,(Datos!K12+Datos!AA12-(Datos!U12+Datos!AI12))/(Datos!U12+Datos!AI12))
     ),IF(J_V="SI",(Datos!K12-Datos!U12)/Datos!U12,(Datos!K12+Datos!AA12-(Datos!U12+Datos!AI12))/(Datos!U12+Datos!AI12))," - ")</f>
        <v>-0.75</v>
      </c>
      <c r="E12" s="472">
        <f>IF(ISNUMBER(
   IF(J_V="SI",(Datos!L12-Datos!V12)/Datos!V12,(Datos!L12+Datos!AB12-(Datos!V12+Datos!AJ12))/(Datos!V12+Datos!AJ12))
     ),IF(J_V="SI",(Datos!L12-Datos!V12)/Datos!V12,(Datos!L12+Datos!AB12-(Datos!V12+Datos!AJ12))/(Datos!V12+Datos!AJ12))," - ")</f>
        <v>-1</v>
      </c>
      <c r="F12" s="472" t="str">
        <f>IF(ISNUMBER((Datos!M12-Datos!W12)/Datos!W12),(Datos!M12-Datos!W12)/Datos!W12," - ")</f>
        <v xml:space="preserve"> - </v>
      </c>
      <c r="G12" s="473">
        <f>IF(ISNUMBER((Datos!N12-Datos!X12)/Datos!X12),(Datos!N12-Datos!X12)/Datos!X12," - ")</f>
        <v>-1</v>
      </c>
      <c r="H12" s="471" t="str">
        <f>IF(ISNUMBER(((NºAsuntos!G12/NºAsuntos!E12)-Datos!BD12)/Datos!BD12),((NºAsuntos!G12/NºAsuntos!E12)-Datos!BD12)/Datos!BD12," - ")</f>
        <v xml:space="preserve"> - </v>
      </c>
      <c r="I12" s="472">
        <f>IF(ISNUMBER(((NºAsuntos!I12/NºAsuntos!G12)-Datos!BE12)/Datos!BE12),((NºAsuntos!I12/NºAsuntos!G12)-Datos!BE12)/Datos!BE12," - ")</f>
        <v>-1</v>
      </c>
      <c r="J12" s="477">
        <f>IF(ISNUMBER((('Resol  Asuntos'!D12/NºAsuntos!G12)-Datos!BF12)/Datos!BF12),(('Resol  Asuntos'!D12/NºAsuntos!G12)-Datos!BF12)/Datos!BF12," - ")</f>
        <v>-1</v>
      </c>
      <c r="K12" s="478">
        <f>IF(ISNUMBER((((NºAsuntos!C12+NºAsuntos!E12)/NºAsuntos!G12)-Datos!BG12)/Datos!BG12),(((NºAsuntos!C12+NºAsuntos!E12)/NºAsuntos!G12)-Datos!BG12)/Datos!BG12," - ")</f>
        <v>-0.2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0.27952280277861674</v>
      </c>
      <c r="C13" s="1001">
        <f>IF(ISNUMBER(
   IF(J_V="SI",(Datos!J13-Datos!T13)/Datos!T13,(Datos!J13+Datos!Z13-(Datos!T13+Datos!AH13))/(Datos!T13+Datos!AH13))
     ),IF(J_V="SI",(Datos!J13-Datos!T13)/Datos!T13,(Datos!J13+Datos!Z13-(Datos!T13+Datos!AH13))/(Datos!T13+Datos!AH13))," - ")</f>
        <v>0.26195899772209569</v>
      </c>
      <c r="D13" s="1001">
        <f>IF(ISNUMBER(
   IF(J_V="SI",(Datos!K13-Datos!U13)/Datos!U13,(Datos!K13+Datos!AA13-(Datos!U13+Datos!AI13))/(Datos!U13+Datos!AI13))
     ),IF(J_V="SI",(Datos!K13-Datos!U13)/Datos!U13,(Datos!K13+Datos!AA13-(Datos!U13+Datos!AI13))/(Datos!U13+Datos!AI13))," - ")</f>
        <v>-5.7996485061511421E-2</v>
      </c>
      <c r="E13" s="1001">
        <f>IF(ISNUMBER(
   IF(J_V="SI",(Datos!L13-Datos!V13)/Datos!V13,(Datos!L13+Datos!AB13-(Datos!V13+Datos!AJ13))/(Datos!V13+Datos!AJ13))
     ),IF(J_V="SI",(Datos!L13-Datos!V13)/Datos!V13,(Datos!L13+Datos!AB13-(Datos!V13+Datos!AJ13))/(Datos!V13+Datos!AJ13))," - ")</f>
        <v>0.53239578101456553</v>
      </c>
      <c r="F13" s="1002">
        <f>IF(ISNUMBER((Datos!M13-Datos!W13)/Datos!W13),(Datos!M13-Datos!W13)/Datos!W13," - ")</f>
        <v>0.17333333333333334</v>
      </c>
      <c r="G13" s="1003">
        <f>IF(ISNUMBER((Datos!N13-Datos!X13)/Datos!X13),(Datos!N13-Datos!X13)/Datos!X13," - ")</f>
        <v>-0.21013039117352056</v>
      </c>
      <c r="H13" s="1003">
        <f>IF(ISNUMBER(((NºAsuntos!G13/NºAsuntos!E13)-Datos!BD13)/Datos!BD13),((NºAsuntos!G13/NºAsuntos!E13)-Datos!BD13)/Datos!BD13," - ")</f>
        <v>-0.25353873094224455</v>
      </c>
      <c r="I13" s="1003">
        <f>IF(ISNUMBER(((NºAsuntos!I13/NºAsuntos!G13)-Datos!BE13)/Datos!BE13),((NºAsuntos!I13/NºAsuntos!G13)-Datos!BE13)/Datos!BE13," - ")</f>
        <v>0.62674104365165639</v>
      </c>
      <c r="J13" s="1003">
        <f>IF(ISNUMBER((('Resol  Asuntos'!D13/NºAsuntos!G13)-Datos!BF13)/Datos!BF13),(('Resol  Asuntos'!D13/NºAsuntos!G13)-Datos!BF13)/Datos!BF13," - ")</f>
        <v>-0.57708189435118173</v>
      </c>
      <c r="K13" s="1003">
        <f>IF(ISNUMBER((((NºAsuntos!C13+NºAsuntos!E13)/NºAsuntos!G13)-Datos!BG13)/Datos!BG13),(((NºAsuntos!C13+NºAsuntos!E13)/NºAsuntos!G13)-Datos!BG13)/Datos!BG13," - ")</f>
        <v>0.35183779886829913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0.20881905727318803</v>
      </c>
      <c r="C15" s="472">
        <f>IF(ISNUMBER(
   IF(D_I="SI",(Datos!J15-Datos!T15)/Datos!T15,(Datos!J15+Datos!AD15-(Datos!T15+Datos!AL15))/(Datos!T15+Datos!AL15))
     ),IF(D_I="SI",(Datos!J15-Datos!T15)/Datos!T15,(Datos!J15+Datos!AD15-(Datos!T15+Datos!AL15))/(Datos!T15+Datos!AL15))," - ")</f>
        <v>-1.1890118901189012E-2</v>
      </c>
      <c r="D15" s="472">
        <f>IF(ISNUMBER(
   IF(D_I="SI",(Datos!K15-Datos!U15)/Datos!U15,(Datos!K15+Datos!AE15-(Datos!U15+Datos!AM15))/(Datos!U15+Datos!AM15))
     ),IF(D_I="SI",(Datos!K15-Datos!U15)/Datos!U15,(Datos!K15+Datos!AE15-(Datos!U15+Datos!AM15))/(Datos!U15+Datos!AM15))," - ")</f>
        <v>-0.20631254811393379</v>
      </c>
      <c r="E15" s="472">
        <f>IF(ISNUMBER(
   IF(D_I="SI",(Datos!L15-Datos!V15)/Datos!V15,(Datos!L15+Datos!AF15-(Datos!V15+Datos!AN15))/(Datos!V15+Datos!AN15))
     ),IF(D_I="SI",(Datos!L15-Datos!V15)/Datos!V15,(Datos!L15+Datos!AF15-(Datos!V15+Datos!AN15))/(Datos!V15+Datos!AN15))," - ")</f>
        <v>0.49943820224719099</v>
      </c>
      <c r="F15" s="472">
        <f>IF(ISNUMBER((Datos!M15-Datos!W15)/Datos!W15),(Datos!M15-Datos!W15)/Datos!W15," - ")</f>
        <v>-0.44727891156462585</v>
      </c>
      <c r="G15" s="473">
        <f>IF(ISNUMBER((Datos!N15-Datos!X15)/Datos!X15),(Datos!N15-Datos!X15)/Datos!X15," - ")</f>
        <v>-2.9282576866764276E-2</v>
      </c>
      <c r="H15" s="471">
        <f>IF(ISNUMBER(((NºAsuntos!G15/NºAsuntos!E15)-Datos!BD15)/Datos!BD15),((NºAsuntos!G15/NºAsuntos!E15)-Datos!BD15)/Datos!BD15," - ")</f>
        <v>-0.19676195221986914</v>
      </c>
      <c r="I15" s="472">
        <f>IF(ISNUMBER(((NºAsuntos!I15/NºAsuntos!G15)-Datos!BE15)/Datos!BE15),((NºAsuntos!I15/NºAsuntos!G15)-Datos!BE15)/Datos!BE15," - ")</f>
        <v>0.88920487363637346</v>
      </c>
      <c r="J15" s="477">
        <f>IF(ISNUMBER((('Resol  Asuntos'!D15/NºAsuntos!G15)-Datos!BF15)/Datos!BF15),(('Resol  Asuntos'!D15/NºAsuntos!G15)-Datos!BF15)/Datos!BF15," - ")</f>
        <v>-0.30360359468714748</v>
      </c>
      <c r="K15" s="478">
        <f>IF(ISNUMBER((((NºAsuntos!C15+NºAsuntos!E15)/NºAsuntos!G15)-Datos!BG15)/Datos!BG15),(((NºAsuntos!C15+NºAsuntos!E15)/NºAsuntos!G15)-Datos!BG15)/Datos!BG15," - ")</f>
        <v>0.36931571861592538</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-0.16666666666666666</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0.39849624060150374</v>
      </c>
      <c r="C17" s="472">
        <f>IF(ISNUMBER(
   IF(D_I="SI",(Datos!J17-Datos!T17)/Datos!T17,(Datos!J17+Datos!AD17-(Datos!T17+Datos!AL17))/(Datos!T17+Datos!AL17))
     ),IF(D_I="SI",(Datos!J17-Datos!T17)/Datos!T17,(Datos!J17+Datos!AD17-(Datos!T17+Datos!AL17))/(Datos!T17+Datos!AL17))," - ")</f>
        <v>-1.7441860465116279E-2</v>
      </c>
      <c r="D17" s="472">
        <f>IF(ISNUMBER(
   IF(D_I="SI",(Datos!K17-Datos!U17)/Datos!U17,(Datos!K17+Datos!AE17-(Datos!U17+Datos!AM17))/(Datos!U17+Datos!AM17))
     ),IF(D_I="SI",(Datos!K17-Datos!U17)/Datos!U17,(Datos!K17+Datos!AE17-(Datos!U17+Datos!AM17))/(Datos!U17+Datos!AM17))," - ")</f>
        <v>-0.30054644808743169</v>
      </c>
      <c r="E17" s="472">
        <f>IF(ISNUMBER(
   IF(D_I="SI",(Datos!L17-Datos!V17)/Datos!V17,(Datos!L17+Datos!AF17-(Datos!V17+Datos!AN17))/(Datos!V17+Datos!AN17))
     ),IF(D_I="SI",(Datos!L17-Datos!V17)/Datos!V17,(Datos!L17+Datos!AF17-(Datos!V17+Datos!AN17))/(Datos!V17+Datos!AN17))," - ")</f>
        <v>0.86065573770491799</v>
      </c>
      <c r="F17" s="472">
        <f>IF(ISNUMBER((Datos!M17-Datos!W17)/Datos!W17),(Datos!M17-Datos!W17)/Datos!W17," - ")</f>
        <v>-0.16455696202531644</v>
      </c>
      <c r="G17" s="473">
        <f>IF(ISNUMBER((Datos!N17-Datos!X17)/Datos!X17),(Datos!N17-Datos!X17)/Datos!X17," - ")</f>
        <v>3.0612244897959183E-2</v>
      </c>
      <c r="H17" s="471">
        <f>IF(ISNUMBER(((NºAsuntos!G17/NºAsuntos!E17)-Datos!BD17)/Datos!BD17),((NºAsuntos!G17/NºAsuntos!E17)-Datos!BD17)/Datos!BD17," - ")</f>
        <v>-0.28813011284638013</v>
      </c>
      <c r="I17" s="472">
        <f>IF(ISNUMBER(((NºAsuntos!I17/NºAsuntos!G17)-Datos!BE17)/Datos!BE17),((NºAsuntos!I17/NºAsuntos!G17)-Datos!BE17)/Datos!BE17," - ")</f>
        <v>1.6601562500000002</v>
      </c>
      <c r="J17" s="477">
        <f>IF(ISNUMBER((('Resol  Asuntos'!D17/NºAsuntos!G17)-Datos!BF17)/Datos!BF17),(('Resol  Asuntos'!D17/NºAsuntos!G17)-Datos!BF17)/Datos!BF17," - ")</f>
        <v>0.19442246835443044</v>
      </c>
      <c r="K17" s="478">
        <f>IF(ISNUMBER((((NºAsuntos!C17+NºAsuntos!E17)/NºAsuntos!G17)-Datos!BG17)/Datos!BG17),(((NºAsuntos!C17+NºAsuntos!E17)/NºAsuntos!G17)-Datos!BG17)/Datos!BG17," - ")</f>
        <v>0.66406249999999989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0.2196969696969697</v>
      </c>
      <c r="C18" s="1001">
        <f>IF(ISNUMBER(
   IF(Criterios!B14="SI",(Datos!J18-Datos!T18)/Datos!T18,(Datos!J18+Datos!AD18-(Datos!T18+Datos!AL18))/(Datos!T18+Datos!AL18))
     ),IF(Criterios!B14="SI",(Datos!J18-Datos!T18)/Datos!T18,(Datos!J18+Datos!AD18-(Datos!T18+Datos!AL18))/(Datos!T18+Datos!AL18))," - ")</f>
        <v>-1.1872845653006512E-2</v>
      </c>
      <c r="D18" s="1001">
        <f>IF(ISNUMBER(
   IF(Criterios!B14="SI",(Datos!K18-Datos!U18)/Datos!U18,(Datos!K18+Datos!AE18-(Datos!U18+Datos!AM18))/(Datos!U18+Datos!AM18))
     ),IF(Criterios!B14="SI",(Datos!K18-Datos!U18)/Datos!U18,(Datos!K18+Datos!AE18-(Datos!U18+Datos!AM18))/(Datos!U18+Datos!AM18))," - ")</f>
        <v>-0.21215390147428984</v>
      </c>
      <c r="E18" s="1001">
        <f>IF(ISNUMBER(
   IF(Criterios!B14="SI",(Datos!L18-Datos!V18)/Datos!V18,(Datos!L18+Datos!AF18-(Datos!V18+Datos!AN18))/(Datos!V18+Datos!AN18))
     ),IF(Criterios!B14="SI",(Datos!L18-Datos!V18)/Datos!V18,(Datos!L18+Datos!AF18-(Datos!V18+Datos!AN18))/(Datos!V18+Datos!AN18))," - ")</f>
        <v>0.52123754588358684</v>
      </c>
      <c r="F18" s="1002">
        <f>IF(ISNUMBER((Datos!M18-Datos!W18)/Datos!W18),(Datos!M18-Datos!W18)/Datos!W18," - ")</f>
        <v>-0.41379310344827586</v>
      </c>
      <c r="G18" s="1003">
        <f>IF(ISNUMBER((Datos!N18-Datos!X18)/Datos!X18),(Datos!N18-Datos!X18)/Datos!X18," - ")</f>
        <v>-2.4590163934426229E-2</v>
      </c>
      <c r="H18" s="1003">
        <f>IF(ISNUMBER(((NºAsuntos!G18/NºAsuntos!E18)-Datos!BD18)/Datos!BD18),((NºAsuntos!G18/NºAsuntos!E18)-Datos!BD18)/Datos!BD18," - ")</f>
        <v>-0.20268753362378719</v>
      </c>
      <c r="I18" s="1003">
        <f>IF(ISNUMBER(((NºAsuntos!I18/NºAsuntos!G18)-Datos!BE18)/Datos!BE18),((NºAsuntos!I18/NºAsuntos!G18)-Datos!BE18)/Datos!BE18," - ")</f>
        <v>0.93088161346520082</v>
      </c>
      <c r="J18" s="1003">
        <f>IF(ISNUMBER((('Resol  Asuntos'!D18/NºAsuntos!G18)-Datos!BF18)/Datos!BF18),(('Resol  Asuntos'!D18/NºAsuntos!G18)-Datos!BF18)/Datos!BF18," - ")</f>
        <v>-0.25593729835219314</v>
      </c>
      <c r="K18" s="1003">
        <f>IF(ISNUMBER((((NºAsuntos!C18+NºAsuntos!E18)/NºAsuntos!G18)-Datos!BG18)/Datos!BG18),(((NºAsuntos!C18+NºAsuntos!E18)/NºAsuntos!G18)-Datos!BG18)/Datos!BG18," - ")</f>
        <v>0.38565009031132602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0.26505610258758872</v>
      </c>
      <c r="C19" s="948">
        <f>IF(ISNUMBER(
   IF(J_V="SI",(Datos!J19-Datos!T19)/Datos!T19,(Datos!J19+Datos!Z19-(Datos!T19+Datos!AH19))/(Datos!T19+Datos!AH19))
     ),IF(J_V="SI",(Datos!J19-Datos!T19)/Datos!T19,(Datos!J19+Datos!Z19-(Datos!T19+Datos!AH19))/(Datos!T19+Datos!AH19))," - ")</f>
        <v>0.1451902662093745</v>
      </c>
      <c r="D19" s="948">
        <f>IF(ISNUMBER(
   IF(J_V="SI",(Datos!K19-Datos!U19)/Datos!U19,(Datos!K19+Datos!AA19-(Datos!U19+Datos!AI19))/(Datos!U19+Datos!AI19))
     ),IF(J_V="SI",(Datos!K19-Datos!U19)/Datos!U19,(Datos!K19+Datos!AA19-(Datos!U19+Datos!AI19))/(Datos!U19+Datos!AI19))," - ")</f>
        <v>-0.12137788290952099</v>
      </c>
      <c r="E19" s="948">
        <f>IF(ISNUMBER(
   IF(J_V="SI",(Datos!L19-Datos!V19)/Datos!V19,(Datos!L19+Datos!AB19-(Datos!V19+Datos!AJ19))/(Datos!V19+Datos!AJ19))
     ),IF(J_V="SI",(Datos!L19-Datos!V19)/Datos!V19,(Datos!L19+Datos!AB19-(Datos!V19+Datos!AJ19))/(Datos!V19+Datos!AJ19))," - ")</f>
        <v>0.5296954314720812</v>
      </c>
      <c r="F19" s="949">
        <f>IF(ISNUMBER((Datos!M19-Datos!W19)/Datos!W19),(Datos!M19-Datos!W19)/Datos!W19," - ")</f>
        <v>-0.11847988077496274</v>
      </c>
      <c r="G19" s="950">
        <f>IF(ISNUMBER((Datos!N19-Datos!X19)/Datos!X19),(Datos!N19-Datos!X19)/Datos!X19," - ")</f>
        <v>-0.13157894736842105</v>
      </c>
      <c r="H19" s="951">
        <f>IF(ISNUMBER((Tasas!B19-Datos!BD19)/Datos!BD19),(Tasas!B19-Datos!BD19)/Datos!BD19," - ")</f>
        <v>-0.23277193055547601</v>
      </c>
      <c r="I19" s="952">
        <f>IF(ISNUMBER((Tasas!C19-Datos!BE19)/Datos!BE19),(Tasas!C19-Datos!BE19)/Datos!BE19," - ")</f>
        <v>0.74101630464027568</v>
      </c>
      <c r="J19" s="953">
        <f>IF(ISNUMBER((Tasas!D19-Datos!BF19)/Datos!BF19),(Tasas!D19-Datos!BF19)/Datos!BF19," - ")</f>
        <v>-0.49287141846284205</v>
      </c>
      <c r="K19" s="953">
        <f>IF(ISNUMBER((Tasas!E19-Datos!BG19)/Datos!BG19),(Tasas!E19-Datos!BG19)/Datos!BG19," - ")</f>
        <v>0.38359357922158138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liNADSAbWfmMUYt5hNukvARYy74Y3+YVJ1sqDmNLQNUUJMsbx3wqQkzpQqqlbiE5kGK4Kt/UQe+2jVvkrcDlg==" saltValue="nfW114+og/54McCc7psk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TELDE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0.84627647460715094</v>
      </c>
      <c r="C9" s="459">
        <f>IF(ISNUMBER(NºAsuntos!I9/NºAsuntos!G9),NºAsuntos!I9/NºAsuntos!G9," - ")</f>
        <v>2.4155005382131325</v>
      </c>
      <c r="D9" s="460">
        <f>IF(ISNUMBER('Resol  Asuntos'!D9/NºAsuntos!G9),'Resol  Asuntos'!D9/NºAsuntos!G9," - ")</f>
        <v>0.20990312163616792</v>
      </c>
      <c r="E9" s="461">
        <f>IF(ISNUMBER((NºAsuntos!C9+NºAsuntos!E9)/NºAsuntos!G9),(NºAsuntos!C9+NºAsuntos!E9)/NºAsuntos!G9," - ")</f>
        <v>3.4155005382131325</v>
      </c>
      <c r="G9" s="479"/>
    </row>
    <row r="10" spans="1:7">
      <c r="A10" s="413" t="str">
        <f>Datos!A10</f>
        <v>Jdos. Violencia contra la mujer</v>
      </c>
      <c r="B10" s="458">
        <f>IF(ISNUMBER(NºAsuntos!G10/NºAsuntos!E10),NºAsuntos!G10/NºAsuntos!E10," - ")</f>
        <v>0.85365853658536583</v>
      </c>
      <c r="C10" s="459">
        <f>IF(ISNUMBER(NºAsuntos!I10/NºAsuntos!G10),NºAsuntos!I10/NºAsuntos!G10," - ")</f>
        <v>5.0571428571428569</v>
      </c>
      <c r="D10" s="460">
        <f>IF(ISNUMBER('Resol  Asuntos'!D10/NºAsuntos!G10),'Resol  Asuntos'!D10/NºAsuntos!G10," - ")</f>
        <v>0.34285714285714286</v>
      </c>
      <c r="E10" s="461">
        <f>IF(ISNUMBER((NºAsuntos!C10+NºAsuntos!E10)/NºAsuntos!G10),(NºAsuntos!C10+NºAsuntos!E10)/NºAsuntos!G10," - ")</f>
        <v>6.0571428571428569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f>IF(ISNUMBER(NºAsuntos!I12/NºAsuntos!G12),NºAsuntos!I12/NºAsuntos!G12," - ")</f>
        <v>0</v>
      </c>
      <c r="D12" s="460">
        <f>IF(ISNUMBER('Resol  Asuntos'!D12/NºAsuntos!G12),'Resol  Asuntos'!D12/NºAsuntos!G12," - ")</f>
        <v>0</v>
      </c>
      <c r="E12" s="461">
        <f>IF(ISNUMBER((NºAsuntos!C12+NºAsuntos!E12)/NºAsuntos!G12),(NºAsuntos!C12+NºAsuntos!E12)/NºAsuntos!G12," - ")</f>
        <v>1</v>
      </c>
      <c r="G12" s="479"/>
    </row>
    <row r="13" spans="1:7" ht="14.25" thickTop="1" thickBot="1">
      <c r="A13" s="994" t="str">
        <f>Datos!A13</f>
        <v>TOTAL</v>
      </c>
      <c r="B13" s="1004">
        <f>IF(ISNUMBER(NºAsuntos!G13/NºAsuntos!E13),NºAsuntos!G13/NºAsuntos!E13," - ")</f>
        <v>0.8465703971119134</v>
      </c>
      <c r="C13" s="1005">
        <f>IF(ISNUMBER(NºAsuntos!I13/NºAsuntos!G13),NºAsuntos!I13/NºAsuntos!G13," - ")</f>
        <v>2.4394989339019189</v>
      </c>
      <c r="D13" s="1006">
        <f>IF(ISNUMBER('Resol  Asuntos'!D13/NºAsuntos!G13),'Resol  Asuntos'!D13/NºAsuntos!G13," - ")</f>
        <v>0.21108742004264391</v>
      </c>
      <c r="E13" s="1007">
        <f>IF(ISNUMBER((NºAsuntos!C13+NºAsuntos!E13)/NºAsuntos!G13),(NºAsuntos!C13+NºAsuntos!E13)/NºAsuntos!G13," - ")</f>
        <v>3.4394989339019189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0.8556016597510373</v>
      </c>
      <c r="C15" s="459">
        <f>IF(ISNUMBER(NºAsuntos!I15/NºAsuntos!G15),NºAsuntos!I15/NºAsuntos!G15," - ")</f>
        <v>1.2943743937924346</v>
      </c>
      <c r="D15" s="460">
        <f>IF(ISNUMBER('Resol  Asuntos'!D15/NºAsuntos!G15),'Resol  Asuntos'!D15/NºAsuntos!G15," - ")</f>
        <v>0.15761396702230843</v>
      </c>
      <c r="E15" s="461">
        <f>IF(ISNUMBER((NºAsuntos!C15+NºAsuntos!E15)/NºAsuntos!G15),(NºAsuntos!C15+NºAsuntos!E15)/NºAsuntos!G15," - ")</f>
        <v>2.3254122211445201</v>
      </c>
      <c r="G15" s="479"/>
    </row>
    <row r="16" spans="1:7">
      <c r="A16" s="413" t="str">
        <f>Datos!A16</f>
        <v xml:space="preserve">Jdos. 1ª Instª. e Instr.                        </v>
      </c>
      <c r="B16" s="458">
        <f>IF(ISNUMBER(NºAsuntos!G16/NºAsuntos!E16),NºAsuntos!G16/NºAsuntos!E16," - ")</f>
        <v>1</v>
      </c>
      <c r="C16" s="459">
        <f>IF(ISNUMBER(NºAsuntos!I16/NºAsuntos!G16),NºAsuntos!I16/NºAsuntos!G16," - ")</f>
        <v>5</v>
      </c>
      <c r="D16" s="460">
        <f>IF(ISNUMBER('Resol  Asuntos'!D16/NºAsuntos!G16),'Resol  Asuntos'!D16/NºAsuntos!G16," - ")</f>
        <v>0</v>
      </c>
      <c r="E16" s="461">
        <f>IF(ISNUMBER((NºAsuntos!C16+NºAsuntos!E16)/NºAsuntos!G16),(NºAsuntos!C16+NºAsuntos!E16)/NºAsuntos!G16," - ")</f>
        <v>6</v>
      </c>
      <c r="G16" s="479"/>
    </row>
    <row r="17" spans="1:7" ht="13.5" thickBot="1">
      <c r="A17" s="413" t="str">
        <f>Datos!A17</f>
        <v>Jdos. Violencia contra la mujer</v>
      </c>
      <c r="B17" s="458">
        <f>IF(ISNUMBER(NºAsuntos!G17/NºAsuntos!E17),NºAsuntos!G17/NºAsuntos!E17," - ")</f>
        <v>0.75739644970414199</v>
      </c>
      <c r="C17" s="459">
        <f>IF(ISNUMBER(NºAsuntos!I17/NºAsuntos!G17),NºAsuntos!I17/NºAsuntos!G17," - ")</f>
        <v>1.7734375</v>
      </c>
      <c r="D17" s="460">
        <f>IF(ISNUMBER('Resol  Asuntos'!D17/NºAsuntos!G17),'Resol  Asuntos'!D17/NºAsuntos!G17," - ")</f>
        <v>0.515625</v>
      </c>
      <c r="E17" s="461">
        <f>IF(ISNUMBER((NºAsuntos!C17+NºAsuntos!E17)/NºAsuntos!G17),(NºAsuntos!C17+NºAsuntos!E17)/NºAsuntos!G17," - ")</f>
        <v>2.7734375</v>
      </c>
      <c r="G17" s="479"/>
    </row>
    <row r="18" spans="1:7" ht="14.25" thickTop="1" thickBot="1">
      <c r="A18" s="994" t="str">
        <f>Datos!A18</f>
        <v>TOTAL</v>
      </c>
      <c r="B18" s="1004">
        <f>IF(ISNUMBER(NºAsuntos!G18/NºAsuntos!E18),NºAsuntos!G18/NºAsuntos!E18," - ")</f>
        <v>0.84922480620155039</v>
      </c>
      <c r="C18" s="1005">
        <f>IF(ISNUMBER(NºAsuntos!I18/NºAsuntos!G18),NºAsuntos!I18/NºAsuntos!G18," - ")</f>
        <v>1.3240529438612505</v>
      </c>
      <c r="D18" s="1008">
        <f>IF(ISNUMBER('Resol  Asuntos'!D18/NºAsuntos!G18),'Resol  Asuntos'!D18/NºAsuntos!G18," - ")</f>
        <v>0.17845732542218165</v>
      </c>
      <c r="E18" s="1007">
        <f>IF(ISNUMBER((NºAsuntos!C18+NºAsuntos!E18)/NºAsuntos!G18),(NºAsuntos!C18+NºAsuntos!E18)/NºAsuntos!G18," - ")</f>
        <v>2.3532633500684619</v>
      </c>
      <c r="G18" s="479"/>
    </row>
    <row r="19" spans="1:7" ht="15.75" customHeight="1" thickTop="1" thickBot="1">
      <c r="A19" s="939" t="str">
        <f>Datos!A19</f>
        <v>TOTAL JURISDICCIONES</v>
      </c>
      <c r="B19" s="954">
        <f>IF(ISNUMBER(NºAsuntos!G19/NºAsuntos!E19),NºAsuntos!G19/NºAsuntos!E19," - ")</f>
        <v>0.84754706217912146</v>
      </c>
      <c r="C19" s="955">
        <f>IF(ISNUMBER(NºAsuntos!I19/NºAsuntos!G19),NºAsuntos!I19/NºAsuntos!G19," - ")</f>
        <v>2.0282685512367493</v>
      </c>
      <c r="D19" s="956">
        <f>IF(ISNUMBER('Resol  Asuntos'!D19/NºAsuntos!G19),'Resol  Asuntos'!D19/NºAsuntos!G19," - ")</f>
        <v>0.19905771495877503</v>
      </c>
      <c r="E19" s="957">
        <f>IF(ISNUMBER((NºAsuntos!C19+NºAsuntos!E19)/NºAsuntos!G19),(NºAsuntos!C19+NºAsuntos!E19)/NºAsuntos!G19," - ")</f>
        <v>3.039037523136463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Liw9tJq5S174F6P8JUw2/v9YkU1BvFKNxtUlhIvBG3ujXJATE9lJMXvtsGOJrIn/RPj/3yLrVdu1EUfkCiosQ==" saltValue="L2X8lcJX9/QTXYpIH9pT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TELDE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538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595</v>
      </c>
      <c r="Y9" s="343">
        <f>SUM(W9:X9)</f>
        <v>595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9604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780</v>
      </c>
      <c r="AJ9" s="233" t="str">
        <f>IF(ISNUMBER(Datos!BW9),Datos!BW9," - ")</f>
        <v xml:space="preserve"> - </v>
      </c>
      <c r="AK9" s="232" t="str">
        <f>IF(ISNUMBER(Datos!BX9),Datos!BX9," - ")</f>
        <v xml:space="preserve"> - </v>
      </c>
      <c r="AL9" s="247">
        <f>IF(ISNUMBER(NºAsuntos!G9/NºAsuntos!E9),NºAsuntos!G9/NºAsuntos!E9," - ")</f>
        <v>0.84627647460715094</v>
      </c>
      <c r="AM9" s="264">
        <f>IF(ISNUMBER(((NºAsuntos!I9/NºAsuntos!G9)*11)/factor_trimestre),((NºAsuntos!I9/NºAsuntos!G9)*11)/factor_trimestre," - ")</f>
        <v>7.2465016146393983</v>
      </c>
      <c r="AN9" s="248">
        <f>IF(ISNUMBER('Resol  Asuntos'!D9/NºAsuntos!G9),'Resol  Asuntos'!D9/NºAsuntos!G9," - ")</f>
        <v>0.20990312163616792</v>
      </c>
      <c r="AO9" s="249">
        <f>IF(ISNUMBER((NºAsuntos!C9+NºAsuntos!E9)/NºAsuntos!G9),(NºAsuntos!C9+NºAsuntos!E9)/NºAsuntos!G9," - ")</f>
        <v>3.4155005382131325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171</v>
      </c>
      <c r="G10" s="342">
        <f>IF(ISNUMBER(Datos!I10),Datos!I10," - ")</f>
        <v>171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35</v>
      </c>
      <c r="X10" s="230">
        <f>IF(ISNUMBER(Datos!Q10),Datos!Q10," - ")</f>
        <v>7</v>
      </c>
      <c r="Y10" s="343">
        <f t="shared" ref="Y10:Y12" si="0">SUM(W10:X10)</f>
        <v>42</v>
      </c>
      <c r="Z10" s="344" t="str">
        <f>IF(ISNUMBER(Datos!CC10),Datos!CC10," - ")</f>
        <v xml:space="preserve"> - </v>
      </c>
      <c r="AA10" s="341">
        <f>IF(ISNUMBER(Datos!L10),Datos!L10,"-")</f>
        <v>177</v>
      </c>
      <c r="AB10" s="343">
        <f>IF(ISNUMBER(Datos!R10),Datos!R10," - ")</f>
        <v>106</v>
      </c>
      <c r="AC10" s="343">
        <f t="shared" ref="AC10:AC12" si="1">IF(ISNUMBER(AA10+AB10),AA10+AB10," - ")</f>
        <v>283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0.85365853658536583</v>
      </c>
      <c r="AM10" s="264">
        <f>IF(ISNUMBER(((NºAsuntos!I10/NºAsuntos!G10)*11)/factor_trimestre),((NºAsuntos!I10/NºAsuntos!G10)*11)/factor_trimestre," - ")</f>
        <v>15.171428571428571</v>
      </c>
      <c r="AN10" s="248">
        <f>IF(ISNUMBER('Resol  Asuntos'!D10/NºAsuntos!G10),'Resol  Asuntos'!D10/NºAsuntos!G10," - ")</f>
        <v>0.34285714285714286</v>
      </c>
      <c r="AO10" s="249">
        <f>IF(ISNUMBER((NºAsuntos!C10+NºAsuntos!E10)/NºAsuntos!G10),(NºAsuntos!C10+NºAsuntos!E10)/NºAsuntos!G10," - ")</f>
        <v>6.0571428571428569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v>
      </c>
      <c r="Y12" s="343">
        <f t="shared" si="0"/>
        <v>27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1024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f>IF(ISNUMBER(((NºAsuntos!I12/NºAsuntos!G12)*11)/factor_trimestre),((NºAsuntos!I12/NºAsuntos!G12)*11)/factor_trimestre," - ")</f>
        <v>0</v>
      </c>
      <c r="AN12" s="248">
        <f>IF(ISNUMBER('Resol  Asuntos'!D12/NºAsuntos!G12),'Resol  Asuntos'!D12/NºAsuntos!G12," - ")</f>
        <v>0</v>
      </c>
      <c r="AO12" s="249">
        <f>IF(ISNUMBER((NºAsuntos!C12+NºAsuntos!E12)/NºAsuntos!G12),(NºAsuntos!C12+NºAsuntos!E12)/NºAsuntos!G12," - ")</f>
        <v>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171</v>
      </c>
      <c r="G13" s="1012">
        <f t="shared" si="3"/>
        <v>171</v>
      </c>
      <c r="H13" s="1011">
        <f t="shared" si="3"/>
        <v>0</v>
      </c>
      <c r="I13" s="1013">
        <f t="shared" si="3"/>
        <v>0</v>
      </c>
      <c r="J13" s="1013">
        <f t="shared" si="3"/>
        <v>0</v>
      </c>
      <c r="K13" s="1013">
        <f t="shared" si="3"/>
        <v>0</v>
      </c>
      <c r="L13" s="1013">
        <f t="shared" si="3"/>
        <v>546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35</v>
      </c>
      <c r="X13" s="1013">
        <f t="shared" si="4"/>
        <v>629</v>
      </c>
      <c r="Y13" s="1014">
        <f t="shared" si="4"/>
        <v>664</v>
      </c>
      <c r="Z13" s="1014">
        <f t="shared" si="4"/>
        <v>0</v>
      </c>
      <c r="AA13" s="1014">
        <f t="shared" si="4"/>
        <v>177</v>
      </c>
      <c r="AB13" s="1014">
        <f t="shared" si="4"/>
        <v>10734</v>
      </c>
      <c r="AC13" s="1014">
        <f t="shared" si="4"/>
        <v>283</v>
      </c>
      <c r="AD13" s="1014">
        <f t="shared" si="4"/>
        <v>0</v>
      </c>
      <c r="AE13" s="1018">
        <f t="shared" si="4"/>
        <v>0</v>
      </c>
      <c r="AF13" s="1011">
        <f t="shared" si="4"/>
        <v>0</v>
      </c>
      <c r="AG13" s="1019">
        <f t="shared" si="4"/>
        <v>0</v>
      </c>
      <c r="AH13" s="1016">
        <f t="shared" si="4"/>
        <v>0</v>
      </c>
      <c r="AI13" s="1011">
        <f t="shared" si="4"/>
        <v>792</v>
      </c>
      <c r="AJ13" s="1013">
        <f t="shared" si="4"/>
        <v>0</v>
      </c>
      <c r="AK13" s="1016">
        <f>SUBTOTAL(9,AK9:AK12)</f>
        <v>0</v>
      </c>
      <c r="AL13" s="1020">
        <f>IF(ISNUMBER(NºAsuntos!G13/NºAsuntos!E13),NºAsuntos!G13/NºAsuntos!E13," - ")</f>
        <v>0.8465703971119134</v>
      </c>
      <c r="AM13" s="1020">
        <f>IF(ISNUMBER(((NºAsuntos!I13/NºAsuntos!G13)*11)/factor_trimestre),((NºAsuntos!I13/NºAsuntos!G13)*11)/factor_trimestre," - ")</f>
        <v>7.3184968017057566</v>
      </c>
      <c r="AN13" s="1021">
        <f>IF(ISNUMBER('Resol  Asuntos'!D13/NºAsuntos!G13),'Resol  Asuntos'!D13/NºAsuntos!G13," - ")</f>
        <v>0.21108742004264391</v>
      </c>
      <c r="AO13" s="1022">
        <f>IF(ISNUMBER((NºAsuntos!C13+NºAsuntos!E13)/NºAsuntos!G13),(NºAsuntos!C13+NºAsuntos!E13)/NºAsuntos!G13," - ")</f>
        <v>3.4394989339019189</v>
      </c>
      <c r="AP13" s="1023" t="str">
        <f t="shared" si="2"/>
        <v xml:space="preserve"> - </v>
      </c>
      <c r="AQ13" s="1023">
        <f>IF(ISNUMBER((H13-W13+K13)/(F13)),(H13-W13+K13)/(F13)," - ")</f>
        <v>-0.2046783625730994</v>
      </c>
      <c r="AR13" s="1024">
        <f>IF(ISNUMBER((Datos!P13-Datos!Q13)/(Datos!R13-Datos!P13+Datos!Q13)),(Datos!P13-Datos!Q13)/(Datos!R13-Datos!P13+Datos!Q13)," - ")</f>
        <v>-7.673107146158824E-3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2321</v>
      </c>
      <c r="G15" s="342">
        <f>IF(ISNUMBER(IF(D_I="SI",Datos!I15,Datos!I15+Datos!AC15)),IF(D_I="SI",Datos!I15,Datos!I15+Datos!AC15)," - ")</f>
        <v>2385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2062</v>
      </c>
      <c r="X15" s="230">
        <f>IF(ISNUMBER(Datos!Q15),Datos!Q15," - ")</f>
        <v>77</v>
      </c>
      <c r="Y15" s="343">
        <f>SUM(W15)</f>
        <v>2062</v>
      </c>
      <c r="Z15" s="344" t="str">
        <f>IF(ISNUMBER(Datos!CC15),Datos!CC15," - ")</f>
        <v xml:space="preserve"> - </v>
      </c>
      <c r="AA15" s="341">
        <f>IF(ISNUMBER(IF(D_I="SI",Datos!L15,Datos!L15+Datos!AF15)),IF(D_I="SI",Datos!L15,Datos!L15+Datos!AF15)," - ")</f>
        <v>2669</v>
      </c>
      <c r="AB15" s="343">
        <f>IF(ISNUMBER(Datos!R15),Datos!R15," - ")</f>
        <v>486</v>
      </c>
      <c r="AC15" s="343">
        <f t="shared" ref="AC15:AC17" si="6">IF(ISNUMBER(AA15+AB15),AA15+AB15," - ")</f>
        <v>3155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325</v>
      </c>
      <c r="AJ15" s="235" t="str">
        <f>IF(ISNUMBER(Datos!BW15),Datos!BW15," - ")</f>
        <v xml:space="preserve"> - </v>
      </c>
      <c r="AK15" s="236" t="str">
        <f>IF(ISNUMBER(Datos!BX15),Datos!BX15," - ")</f>
        <v xml:space="preserve"> - </v>
      </c>
      <c r="AL15" s="247">
        <f>IF(ISNUMBER(NºAsuntos!G15/NºAsuntos!E15),NºAsuntos!G15/NºAsuntos!E15," - ")</f>
        <v>0.8556016597510373</v>
      </c>
      <c r="AM15" s="264">
        <f>IF(ISNUMBER(((NºAsuntos!I15/NºAsuntos!G15)*11)/factor_trimestre),((NºAsuntos!I15/NºAsuntos!G15)*11)/factor_trimestre," - ")</f>
        <v>3.8831231813773037</v>
      </c>
      <c r="AN15" s="248">
        <f>IF(ISNUMBER('Resol  Asuntos'!D15/NºAsuntos!G15),'Resol  Asuntos'!D15/NºAsuntos!G15," - ")</f>
        <v>0.15761396702230843</v>
      </c>
      <c r="AO15" s="249">
        <f>IF(ISNUMBER((NºAsuntos!C15+NºAsuntos!E15)/NºAsuntos!G15),(NºAsuntos!C15+NºAsuntos!E15)/NºAsuntos!G15," - ")</f>
        <v>2.3254122211445201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5</v>
      </c>
      <c r="G16" s="342">
        <f>IF(ISNUMBER(IF(D_I="SI",Datos!I16,Datos!I16+Datos!AC16)),IF(D_I="SI",Datos!I16,Datos!I16+Datos!AC16)," - ")</f>
        <v>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v>
      </c>
      <c r="X16" s="230">
        <f>IF(ISNUMBER(Datos!Q16),Datos!Q16," - ")</f>
        <v>0</v>
      </c>
      <c r="Y16" s="343">
        <f t="shared" ref="Y16:Y17" si="7">SUM(W16:X16)</f>
        <v>1</v>
      </c>
      <c r="Z16" s="344" t="str">
        <f>IF(ISNUMBER(Datos!CC16),Datos!CC16," - ")</f>
        <v xml:space="preserve"> - </v>
      </c>
      <c r="AA16" s="341">
        <f>IF(ISNUMBER(IF(D_I="SI",Datos!L16,Datos!L16+Datos!AF16)),IF(D_I="SI",Datos!L16,Datos!L16+Datos!AF16)," - ")</f>
        <v>5</v>
      </c>
      <c r="AB16" s="343">
        <f>IF(ISNUMBER(Datos!R16),Datos!R16," - ")</f>
        <v>0</v>
      </c>
      <c r="AC16" s="343">
        <f t="shared" si="6"/>
        <v>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f>IF(ISNUMBER(NºAsuntos!G16/NºAsuntos!E16),NºAsuntos!G16/NºAsuntos!E16," - ")</f>
        <v>1</v>
      </c>
      <c r="AM16" s="264">
        <f>IF(ISNUMBER(((NºAsuntos!I16/NºAsuntos!G16)*11)/factor_trimestre),((NºAsuntos!I16/NºAsuntos!G16)*11)/factor_trimestre," - ")</f>
        <v>15</v>
      </c>
      <c r="AN16" s="248">
        <f>IF(ISNUMBER('Resol  Asuntos'!D16/NºAsuntos!G16),'Resol  Asuntos'!D16/NºAsuntos!G16," - ")</f>
        <v>0</v>
      </c>
      <c r="AO16" s="249">
        <f>IF(ISNUMBER((NºAsuntos!C16+NºAsuntos!E16)/NºAsuntos!G16),(NºAsuntos!C16+NºAsuntos!E16)/NºAsuntos!G16," - ")</f>
        <v>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128</v>
      </c>
      <c r="X17" s="230">
        <f>IF(ISNUMBER(Datos!Q17),Datos!Q17," - ")</f>
        <v>51</v>
      </c>
      <c r="Y17" s="343">
        <f t="shared" si="7"/>
        <v>179</v>
      </c>
      <c r="Z17" s="344" t="str">
        <f>IF(ISNUMBER(Datos!CC17),Datos!CC17," - ")</f>
        <v xml:space="preserve"> - </v>
      </c>
      <c r="AA17" s="341">
        <f>IF(ISNUMBER(Datos!L17),Datos!L17,"-")</f>
        <v>227</v>
      </c>
      <c r="AB17" s="343">
        <f>IF(ISNUMBER(Datos!R17),Datos!R17," - ")</f>
        <v>77</v>
      </c>
      <c r="AC17" s="343">
        <f t="shared" si="6"/>
        <v>304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66</v>
      </c>
      <c r="AJ17" s="235" t="str">
        <f>IF(ISNUMBER(Datos!BW17),Datos!BW17," - ")</f>
        <v xml:space="preserve"> - </v>
      </c>
      <c r="AK17" s="236" t="str">
        <f>IF(ISNUMBER(Datos!BX17),Datos!BX17," - ")</f>
        <v xml:space="preserve"> - </v>
      </c>
      <c r="AL17" s="247">
        <f>IF(ISNUMBER(NºAsuntos!G17/NºAsuntos!E17),NºAsuntos!G17/NºAsuntos!E17," - ")</f>
        <v>0.75739644970414199</v>
      </c>
      <c r="AM17" s="264">
        <f>IF(ISNUMBER(((NºAsuntos!I17/NºAsuntos!G17)*11)/factor_trimestre),((NºAsuntos!I17/NºAsuntos!G17)*11)/factor_trimestre," - ")</f>
        <v>5.3203125</v>
      </c>
      <c r="AN17" s="248">
        <f>IF(ISNUMBER('Resol  Asuntos'!D17/NºAsuntos!G17),'Resol  Asuntos'!D17/NºAsuntos!G17," - ")</f>
        <v>0.515625</v>
      </c>
      <c r="AO17" s="249">
        <f>IF(ISNUMBER((NºAsuntos!C17+NºAsuntos!E17)/NºAsuntos!G17),(NºAsuntos!C17+NºAsuntos!E17)/NºAsuntos!G17," - ")</f>
        <v>2.7734375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2326</v>
      </c>
      <c r="G18" s="1012">
        <f>SUBTOTAL(9,G15:G17)</f>
        <v>2576</v>
      </c>
      <c r="H18" s="1011">
        <f t="shared" ref="H18:O18" si="10">SUBTOTAL(9,H14:H17)</f>
        <v>0</v>
      </c>
      <c r="I18" s="1013">
        <f t="shared" si="10"/>
        <v>0</v>
      </c>
      <c r="J18" s="1013">
        <f t="shared" si="10"/>
        <v>0</v>
      </c>
      <c r="K18" s="1013">
        <f t="shared" si="10"/>
        <v>0</v>
      </c>
      <c r="L18" s="1013">
        <f t="shared" si="10"/>
        <v>112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2191</v>
      </c>
      <c r="X18" s="1013">
        <f t="shared" si="11"/>
        <v>128</v>
      </c>
      <c r="Y18" s="1014">
        <f t="shared" si="11"/>
        <v>2242</v>
      </c>
      <c r="Z18" s="1014">
        <f t="shared" si="11"/>
        <v>0</v>
      </c>
      <c r="AA18" s="1014">
        <f t="shared" si="11"/>
        <v>2901</v>
      </c>
      <c r="AB18" s="1014">
        <f t="shared" si="11"/>
        <v>563</v>
      </c>
      <c r="AC18" s="1014">
        <f t="shared" si="11"/>
        <v>3464</v>
      </c>
      <c r="AD18" s="1014">
        <f t="shared" si="11"/>
        <v>0</v>
      </c>
      <c r="AE18" s="1018">
        <f t="shared" si="11"/>
        <v>0</v>
      </c>
      <c r="AF18" s="1011">
        <f t="shared" si="11"/>
        <v>0</v>
      </c>
      <c r="AG18" s="1019">
        <f t="shared" si="11"/>
        <v>0</v>
      </c>
      <c r="AH18" s="1016">
        <f t="shared" si="11"/>
        <v>0</v>
      </c>
      <c r="AI18" s="1011">
        <f t="shared" si="11"/>
        <v>391</v>
      </c>
      <c r="AJ18" s="1013">
        <f t="shared" si="11"/>
        <v>0</v>
      </c>
      <c r="AK18" s="1016">
        <f t="shared" si="11"/>
        <v>0</v>
      </c>
      <c r="AL18" s="1020">
        <f>IF(ISNUMBER(NºAsuntos!G18/NºAsuntos!E18),NºAsuntos!G18/NºAsuntos!E18," - ")</f>
        <v>0.84922480620155039</v>
      </c>
      <c r="AM18" s="1020">
        <f>IF(ISNUMBER(((NºAsuntos!I18/NºAsuntos!G18)*11)/factor_trimestre),((NºAsuntos!I18/NºAsuntos!G18)*11)/factor_trimestre," - ")</f>
        <v>3.9721588315837515</v>
      </c>
      <c r="AN18" s="1021">
        <f>IF(ISNUMBER('Resol  Asuntos'!D18/NºAsuntos!G18),'Resol  Asuntos'!D18/NºAsuntos!G18," - ")</f>
        <v>0.17845732542218165</v>
      </c>
      <c r="AO18" s="1022">
        <f>IF(ISNUMBER((NºAsuntos!C18+NºAsuntos!E18)/NºAsuntos!G18),(NºAsuntos!C18+NºAsuntos!E18)/NºAsuntos!G18," - ")</f>
        <v>2.3532633500684619</v>
      </c>
      <c r="AP18" s="1023" t="str">
        <f t="shared" si="2"/>
        <v xml:space="preserve"> - </v>
      </c>
      <c r="AQ18" s="1023">
        <f>IF(ISNUMBER((H18-W18+K18)/(F18)),(H18-W18+K18)/(F18)," - ")</f>
        <v>-0.94196044711951854</v>
      </c>
      <c r="AR18" s="1024">
        <f>IF(ISNUMBER((Datos!P18-Datos!Q18)/(Datos!R18-Datos!P18+Datos!Q18)),(Datos!P18-Datos!Q18)/(Datos!R18-Datos!P18+Datos!Q18)," - ")</f>
        <v>-2.7633851468048358E-2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2497</v>
      </c>
      <c r="G19" s="967">
        <f t="shared" si="13"/>
        <v>2747</v>
      </c>
      <c r="H19" s="966">
        <f t="shared" si="13"/>
        <v>0</v>
      </c>
      <c r="I19" s="968">
        <f t="shared" si="13"/>
        <v>0</v>
      </c>
      <c r="J19" s="968">
        <f t="shared" si="13"/>
        <v>0</v>
      </c>
      <c r="K19" s="1027">
        <f t="shared" si="13"/>
        <v>0</v>
      </c>
      <c r="L19" s="968">
        <f t="shared" si="13"/>
        <v>658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2226</v>
      </c>
      <c r="X19" s="967">
        <f t="shared" si="14"/>
        <v>757</v>
      </c>
      <c r="Y19" s="974">
        <f t="shared" si="14"/>
        <v>2906</v>
      </c>
      <c r="Z19" s="974">
        <f t="shared" si="14"/>
        <v>0</v>
      </c>
      <c r="AA19" s="974">
        <f t="shared" si="14"/>
        <v>3078</v>
      </c>
      <c r="AB19" s="974">
        <f t="shared" si="14"/>
        <v>11297</v>
      </c>
      <c r="AC19" s="974">
        <f t="shared" si="14"/>
        <v>3747</v>
      </c>
      <c r="AD19" s="974">
        <f t="shared" si="14"/>
        <v>0</v>
      </c>
      <c r="AE19" s="976">
        <f t="shared" si="14"/>
        <v>0</v>
      </c>
      <c r="AF19" s="977">
        <f t="shared" si="14"/>
        <v>0</v>
      </c>
      <c r="AG19" s="978">
        <f t="shared" si="14"/>
        <v>0</v>
      </c>
      <c r="AH19" s="976">
        <f t="shared" si="14"/>
        <v>0</v>
      </c>
      <c r="AI19" s="966">
        <f t="shared" si="14"/>
        <v>1183</v>
      </c>
      <c r="AJ19" s="966">
        <f t="shared" si="14"/>
        <v>0</v>
      </c>
      <c r="AK19" s="976">
        <f t="shared" si="14"/>
        <v>0</v>
      </c>
      <c r="AL19" s="1030">
        <f>IF(ISNUMBER(NºAsuntos!G19/NºAsuntos!E19),NºAsuntos!G19/NºAsuntos!E19," - ")</f>
        <v>0.84754706217912146</v>
      </c>
      <c r="AM19" s="1031">
        <f>IF(ISNUMBER(((NºAsuntos!I19/NºAsuntos!G19)*11)/factor_trimestre),((NºAsuntos!I19/NºAsuntos!G19)*11)/factor_trimestre," - ")</f>
        <v>6.084805653710248</v>
      </c>
      <c r="AN19" s="1031">
        <f>IF(ISNUMBER('Resol  Asuntos'!D19/NºAsuntos!G19),'Resol  Asuntos'!D19/NºAsuntos!G19," - ")</f>
        <v>0.19905771495877503</v>
      </c>
      <c r="AO19" s="1032">
        <f>IF(ISNUMBER((NºAsuntos!C19+NºAsuntos!E19)/NºAsuntos!G19),(NºAsuntos!C19+NºAsuntos!E19)/NºAsuntos!G19," - ")</f>
        <v>3.039037523136463</v>
      </c>
      <c r="AP19" s="1033" t="str">
        <f t="shared" si="2"/>
        <v xml:space="preserve"> - </v>
      </c>
      <c r="AQ19" s="1034">
        <f>IF(OR(ISNUMBER(FIND("01",Criterios!A8,1)),ISNUMBER(FIND("02",Criterios!A8,1)),ISNUMBER(FIND("03",Criterios!A8,1)),ISNUMBER(FIND("04",Criterios!A8,1))),(I19-W19+K19)/(F19-K19),(H19-W19+K19)/(F19-K19))</f>
        <v>-0.89146976371645981</v>
      </c>
      <c r="AR19" s="1035">
        <f>IF(ISNUMBER((Datos!P19-Datos!Q19)/(Datos!R19-Datos!P19+Datos!Q19)),(Datos!P19-Datos!Q19)/(Datos!R19-Datos!P19+Datos!Q19)," - ")</f>
        <v>-8.6872586872586872E-3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915.66666666666663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2.598076211353316</v>
      </c>
      <c r="F21" s="256">
        <f>IF(ISNUMBER(STDEV(F8:F18)),STDEV(F8:F18),"-")</f>
        <v>1211.1788472393332</v>
      </c>
      <c r="G21" s="257">
        <f>IF(ISNUMBER(STDEV(G8:G18)),STDEV(G8:G18),"-")</f>
        <v>1215.4366567891009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1074.0368708754834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337.83459604622243</v>
      </c>
      <c r="AJ21" s="256">
        <f t="shared" si="18"/>
        <v>0</v>
      </c>
      <c r="AK21" s="258">
        <f t="shared" si="18"/>
        <v>0</v>
      </c>
      <c r="AL21" s="253">
        <f t="shared" si="18"/>
        <v>7.1476910229326396E-2</v>
      </c>
      <c r="AM21" s="254">
        <f t="shared" si="18"/>
        <v>5.3609908894924425</v>
      </c>
      <c r="AN21" s="254">
        <f t="shared" si="18"/>
        <v>0.17007509572818311</v>
      </c>
      <c r="AO21" s="255">
        <f t="shared" si="18"/>
        <v>1.7817252149587364</v>
      </c>
      <c r="AP21" s="295" t="str">
        <f t="shared" si="18"/>
        <v>-</v>
      </c>
      <c r="AQ21" s="296">
        <f t="shared" si="18"/>
        <v>0.52133716163012656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0yd6YFWgLBaglUGeDVD3P2b1E7tQU3CkTTHUh/nOvvk1LicjI/2A58THvDHCNNIL8m6EgVxDQuyxZdE97eZ1g==" saltValue="QXqD/B5R/m/69CxLHFxI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TELDE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0.19266055045871561</v>
      </c>
      <c r="I9" s="359">
        <f>IF(ISNUMBER((Tasas!C9-Datos!BE9)/Datos!BE9),(Tasas!C9-Datos!BE9)/Datos!BE9," - ")</f>
        <v>0.63023325297654376</v>
      </c>
      <c r="J9" s="358">
        <f>IF(ISNUMBER((Tasas!D9-Datos!BF9)/Datos!BF9),(Tasas!D9-Datos!BF9)/Datos!BF9," - ")</f>
        <v>-0.58243928171714943</v>
      </c>
      <c r="K9" s="360">
        <f>IF(ISNUMBER((Tasas!E9-Datos!BG9)/Datos!BG9),(Tasas!E9-Datos!BG9)/Datos!BG9," - ")</f>
        <v>0.35145704749440493</v>
      </c>
      <c r="M9" t="e">
        <f>IF(Monitorios="SI",Datos!CE9,0)</f>
        <v>#REF!</v>
      </c>
      <c r="N9" t="e">
        <f>IF(Monitorios="SI",Datos!CF9,0)</f>
        <v>#REF!</v>
      </c>
      <c r="O9" t="e">
        <f>IF(Monitorios="SI",Datos!CG9,0)</f>
        <v>#REF!</v>
      </c>
      <c r="P9" t="e">
        <f>IF(Monitorios="SI",Datos!CH9,0)</f>
        <v>#REF!</v>
      </c>
      <c r="Q9">
        <f>IF(J_V="SI",0,Datos!AG9)</f>
        <v>175</v>
      </c>
      <c r="R9">
        <f>IF(J_V="SI",0,Datos!AH9)</f>
        <v>178</v>
      </c>
      <c r="S9">
        <f>IF(J_V="SI",0,Datos!AI9)</f>
        <v>186</v>
      </c>
      <c r="T9">
        <f>IF(J_V="SI",0,Datos!AJ9)</f>
        <v>150</v>
      </c>
    </row>
    <row r="10" spans="2:20" ht="14.25">
      <c r="B10" s="279" t="s">
        <v>249</v>
      </c>
      <c r="C10" s="7" t="str">
        <f>Datos!A10</f>
        <v>Jdos. Violencia contra la mujer</v>
      </c>
      <c r="D10" s="361">
        <f>IF(ISNUMBER((Datos!I10-Datos!S10)/Datos!S10),(Datos!I10-Datos!S10)/Datos!S10," - ")</f>
        <v>-0.20093457943925233</v>
      </c>
      <c r="E10" s="357">
        <f>IF(ISNUMBER((Datos!J10-Datos!T10)/Datos!T10),(Datos!J10-Datos!T10)/Datos!T10," - ")</f>
        <v>-0.10869565217391304</v>
      </c>
      <c r="F10" s="357">
        <f>IF(ISNUMBER((Datos!K10-Datos!U10)/Datos!U10),(Datos!K10-Datos!U10)/Datos!U10," - ")</f>
        <v>-0.52702702702702697</v>
      </c>
      <c r="G10" s="358">
        <f>IF(ISNUMBER((Datos!L10-Datos!V10)/Datos!V10),(Datos!L10-Datos!V10)/Datos!V10," - ")</f>
        <v>-4.8387096774193547E-2</v>
      </c>
      <c r="H10" s="234">
        <f>IF(ISNUMBER((Datos!M10-Datos!W10)/Datos!W10),(Datos!M10-Datos!W10)/Datos!W10," - ")</f>
        <v>-0.42857142857142855</v>
      </c>
      <c r="I10" s="359">
        <f>IF(ISNUMBER((Tasas!C10-Datos!BE10)/Datos!BE10),(Tasas!C10-Datos!BE10)/Datos!BE10," - ")</f>
        <v>1.0119815668202763</v>
      </c>
      <c r="J10" s="358">
        <f>IF(ISNUMBER((Tasas!D10-Datos!BF10)/Datos!BF10),(Tasas!D10-Datos!BF10)/Datos!BF10," - ")</f>
        <v>0.2081632653061225</v>
      </c>
      <c r="K10" s="360">
        <f>IF(ISNUMBER((Tasas!E10-Datos!BG10)/Datos!BG10),(Tasas!E10-Datos!BG10)/Datos!BG10," - ")</f>
        <v>0.72395604395604385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f>IF(ISNUMBER((Tasas!C12-Datos!BE12)/Datos!BE12),(Tasas!C12-Datos!BE12)/Datos!BE12," - ")</f>
        <v>-1</v>
      </c>
      <c r="J12" s="358">
        <f>IF(ISNUMBER((Tasas!D12-Datos!BF12)/Datos!BF12),(Tasas!D12-Datos!BF12)/Datos!BF12," - ")</f>
        <v>-1</v>
      </c>
      <c r="K12" s="360">
        <f>IF(ISNUMBER((Tasas!E12-Datos!BG12)/Datos!BG12),(Tasas!E12-Datos!BG12)/Datos!BG12," - ")</f>
        <v>-0.2</v>
      </c>
      <c r="M12" t="e">
        <f>IF(Monitorios="SI",Datos!CE12,0)</f>
        <v>#REF!</v>
      </c>
      <c r="N12" t="e">
        <f>IF(Monitorios="SI",Datos!CF12,0)</f>
        <v>#REF!</v>
      </c>
      <c r="O12" t="e">
        <f>IF(Monitorios="SI",Datos!CG12,0)</f>
        <v>#REF!</v>
      </c>
      <c r="P12" t="e">
        <f>IF(Monitorios="SI",Datos!CH12,0)</f>
        <v>#REF!</v>
      </c>
      <c r="Q12">
        <f>IF(J_V="SI",0,Datos!AG12)</f>
        <v>0</v>
      </c>
      <c r="R12">
        <f>IF(J_V="SI",0,Datos!AH12)</f>
        <v>4</v>
      </c>
      <c r="S12">
        <f>IF(J_V="SI",0,Datos!AI12)</f>
        <v>4</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0.17333333333333334</v>
      </c>
      <c r="I13" s="366">
        <f>IF(ISNUMBER((Tasas!C13-Datos!BE13)/Datos!BE13),(Tasas!C13-Datos!BE13)/Datos!BE13," - ")</f>
        <v>0.62674104365165639</v>
      </c>
      <c r="J13" s="364">
        <f>IF(ISNUMBER((Tasas!D13-Datos!BF13)/Datos!BF13),(Tasas!D13-Datos!BF13)/Datos!BF13," - ")</f>
        <v>-0.57708189435118173</v>
      </c>
      <c r="K13" s="367">
        <f>IF(ISNUMBER((Tasas!E13-Datos!BG13)/Datos!BG13),(Tasas!E13-Datos!BG13)/Datos!BG13," - ")</f>
        <v>0.35183779886829913</v>
      </c>
      <c r="M13" t="e">
        <f>IF(Monitorios="SI",Datos!CE13,0)</f>
        <v>#REF!</v>
      </c>
      <c r="N13" t="e">
        <f>IF(Monitorios="SI",Datos!CF13,0)</f>
        <v>#REF!</v>
      </c>
      <c r="O13" t="e">
        <f>IF(Monitorios="SI",Datos!CG13,0)</f>
        <v>#REF!</v>
      </c>
      <c r="P13" t="e">
        <f>IF(Monitorios="SI",Datos!CH13,0)</f>
        <v>#REF!</v>
      </c>
      <c r="Q13">
        <f>IF(J_V="SI",0,Datos!AG13)</f>
        <v>175</v>
      </c>
      <c r="R13">
        <f>IF(J_V="SI",0,Datos!AH13)</f>
        <v>182</v>
      </c>
      <c r="S13">
        <f>IF(J_V="SI",0,Datos!AI13)</f>
        <v>190</v>
      </c>
      <c r="T13">
        <f>IF(J_V="SI",0,Datos!AJ13)</f>
        <v>150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0.20881905727318803</v>
      </c>
      <c r="E15" s="357">
        <f>IF(ISNUMBER(
   IF(D_I="SI",(Datos!J15-Datos!T15)/Datos!T15,(Datos!J15+Datos!AD15-(Datos!T15+Datos!AL15))/(Datos!T15+Datos!AL15))
     ),IF(D_I="SI",(Datos!J15-Datos!T15)/Datos!T15,(Datos!J15+Datos!AD15-(Datos!T15+Datos!AL15))/(Datos!T15+Datos!AL15))," - ")</f>
        <v>-1.1890118901189012E-2</v>
      </c>
      <c r="F15" s="357">
        <f>IF(ISNUMBER(
   IF(D_I="SI",(Datos!K15-Datos!U15)/Datos!U15,(Datos!K15+Datos!AE15-(Datos!U15+Datos!AM15))/(Datos!U15+Datos!AM15))
     ),IF(D_I="SI",(Datos!K15-Datos!U15)/Datos!U15,(Datos!K15+Datos!AE15-(Datos!U15+Datos!AM15))/(Datos!U15+Datos!AM15))," - ")</f>
        <v>-0.20631254811393379</v>
      </c>
      <c r="G15" s="358">
        <f>IF(ISNUMBER(
   IF(D_I="SI",(Datos!L15-Datos!V15)/Datos!V15,(Datos!L15+Datos!AF15-(Datos!V15+Datos!AN15))/(Datos!V15+Datos!AN15))
     ),IF(D_I="SI",(Datos!L15-Datos!V15)/Datos!V15,(Datos!L15+Datos!AF15-(Datos!V15+Datos!AN15))/(Datos!V15+Datos!AN15))," - ")</f>
        <v>0.49943820224719099</v>
      </c>
      <c r="H15" s="234">
        <f>IF(ISNUMBER((Datos!M15-Datos!W15)/Datos!W15),(Datos!M15-Datos!W15)/Datos!W15," - ")</f>
        <v>-0.44727891156462585</v>
      </c>
      <c r="I15" s="359">
        <f>IF(ISNUMBER((Tasas!C15-Datos!BE15)/Datos!BE15),(Tasas!C15-Datos!BE15)/Datos!BE15," - ")</f>
        <v>0.88920487363637346</v>
      </c>
      <c r="J15" s="358">
        <f>IF(ISNUMBER((Tasas!D15-Datos!BF15)/Datos!BF15),(Tasas!D15-Datos!BF15)/Datos!BF15," - ")</f>
        <v>-0.30360359468714748</v>
      </c>
      <c r="K15" s="360">
        <f>IF(ISNUMBER((Tasas!E15-Datos!BG15)/Datos!BG15),(Tasas!E15-Datos!BG15)/Datos!BG15," - ")</f>
        <v>0.36931571861592538</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-0.16666666666666666</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0.39849624060150374</v>
      </c>
      <c r="E17" s="357">
        <f>IF(ISNUMBER(
   IF(D_I="SI",(Datos!J17-Datos!T17)/Datos!T17,(Datos!J17+Datos!AD17-(Datos!T17+Datos!AL17))/(Datos!T17+Datos!AL17))
     ),IF(D_I="SI",(Datos!J17-Datos!T17)/Datos!T17,(Datos!J17+Datos!AD17-(Datos!T17+Datos!AL17))/(Datos!T17+Datos!AL17))," - ")</f>
        <v>-1.7441860465116279E-2</v>
      </c>
      <c r="F17" s="357">
        <f>IF(ISNUMBER(
   IF(D_I="SI",(Datos!K17-Datos!U17)/Datos!U17,(Datos!K17+Datos!AE17-(Datos!U17+Datos!AM17))/(Datos!U17+Datos!AM17))
     ),IF(D_I="SI",(Datos!K17-Datos!U17)/Datos!U17,(Datos!K17+Datos!AE17-(Datos!U17+Datos!AM17))/(Datos!U17+Datos!AM17))," - ")</f>
        <v>-0.30054644808743169</v>
      </c>
      <c r="G17" s="358">
        <f>IF(ISNUMBER(
   IF(D_I="SI",(Datos!L17-Datos!V17)/Datos!V17,(Datos!L17+Datos!AF17-(Datos!V17+Datos!AN17))/(Datos!V17+Datos!AN17))
     ),IF(D_I="SI",(Datos!L17-Datos!V17)/Datos!V17,(Datos!L17+Datos!AF17-(Datos!V17+Datos!AN17))/(Datos!V17+Datos!AN17))," - ")</f>
        <v>0.86065573770491799</v>
      </c>
      <c r="H17" s="234">
        <f>IF(ISNUMBER((Datos!M17-Datos!W17)/Datos!W17),(Datos!M17-Datos!W17)/Datos!W17," - ")</f>
        <v>-0.16455696202531644</v>
      </c>
      <c r="I17" s="359">
        <f>IF(ISNUMBER((Tasas!C17-Datos!BE17)/Datos!BE17),(Tasas!C17-Datos!BE17)/Datos!BE17," - ")</f>
        <v>1.6601562500000002</v>
      </c>
      <c r="J17" s="358">
        <f>IF(ISNUMBER((Tasas!D17-Datos!BF17)/Datos!BF17),(Tasas!D17-Datos!BF17)/Datos!BF17," - ")</f>
        <v>0.19442246835443044</v>
      </c>
      <c r="K17" s="360">
        <f>IF(ISNUMBER((Tasas!E17-Datos!BG17)/Datos!BG17),(Tasas!E17-Datos!BG17)/Datos!BG17," - ")</f>
        <v>0.66406249999999989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0.2196969696969697</v>
      </c>
      <c r="E18" s="363">
        <f>IF(ISNUMBER(
   IF(D_I="SI",(Datos!J18-Datos!T18)/Datos!T18,(Datos!J18+Datos!AD18-(Datos!T18+Datos!AL18))/(Datos!T18+Datos!AL18))
     ),IF(D_I="SI",(Datos!J18-Datos!T18)/Datos!T18,(Datos!J18+Datos!AD18-(Datos!T18+Datos!AL18))/(Datos!T18+Datos!AL18))," - ")</f>
        <v>-1.1872845653006512E-2</v>
      </c>
      <c r="F18" s="363">
        <f>IF(ISNUMBER(
   IF(D_I="SI",(Datos!K18-Datos!U18)/Datos!U18,(Datos!K18+Datos!AE18-(Datos!U18+Datos!AM18))/(Datos!U18+Datos!AM18))
     ),IF(D_I="SI",(Datos!K18-Datos!U18)/Datos!U18,(Datos!K18+Datos!AE18-(Datos!U18+Datos!AM18))/(Datos!U18+Datos!AM18))," - ")</f>
        <v>-0.21215390147428984</v>
      </c>
      <c r="G18" s="364">
        <f>IF(ISNUMBER(
   IF(D_I="SI",(Datos!L18-Datos!V18)/Datos!V18,(Datos!L18+Datos!AF18-(Datos!V18+Datos!AN18))/(Datos!V18+Datos!AN18))
     ),IF(D_I="SI",(Datos!L18-Datos!V18)/Datos!V18,(Datos!L18+Datos!AF18-(Datos!V18+Datos!AN18))/(Datos!V18+Datos!AN18))," - ")</f>
        <v>0.52123754588358684</v>
      </c>
      <c r="H18" s="365">
        <f>IF(ISNUMBER((Datos!M18-Datos!W18)/Datos!W18),(Datos!M18-Datos!W18)/Datos!W18," - ")</f>
        <v>-0.41379310344827586</v>
      </c>
      <c r="I18" s="366">
        <f>IF(ISNUMBER((Tasas!C18-Datos!BE18)/Datos!BE18),(Tasas!C18-Datos!BE18)/Datos!BE18," - ")</f>
        <v>0.93088161346520082</v>
      </c>
      <c r="J18" s="364">
        <f>IF(ISNUMBER((Tasas!D18-Datos!BF18)/Datos!BF18),(Tasas!D18-Datos!BF18)/Datos!BF18," - ")</f>
        <v>-0.25593729835219314</v>
      </c>
      <c r="K18" s="367">
        <f>IF(ISNUMBER((Tasas!E18-Datos!BG18)/Datos!BG18),(Tasas!E18-Datos!BG18)/Datos!BG18," - ")</f>
        <v>0.38565009031132602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0.26505610258758872</v>
      </c>
      <c r="E19" s="372">
        <f>IF(ISNUMBER(
   IF(J_V="SI",(Datos!J19-Datos!T19)/Datos!T19,(Datos!J19+Datos!Z19-(Datos!T19+Datos!AH19))/(Datos!T19+Datos!AH19))
     ),IF(J_V="SI",(Datos!J19-Datos!T19)/Datos!T19,(Datos!J19+Datos!Z19-(Datos!T19+Datos!AH19))/(Datos!T19+Datos!AH19))," - ")</f>
        <v>0.1451902662093745</v>
      </c>
      <c r="F19" s="372">
        <f>IF(ISNUMBER(
   IF(J_V="SI",(Datos!K19-Datos!U19)/Datos!U19,(Datos!K19+Datos!AA19-(Datos!U19+Datos!AI19))/(Datos!U19+Datos!AI19))
     ),IF(J_V="SI",(Datos!K19-Datos!U19)/Datos!U19,(Datos!K19+Datos!AA19-(Datos!U19+Datos!AI19))/(Datos!U19+Datos!AI19))," - ")</f>
        <v>-0.12137788290952099</v>
      </c>
      <c r="G19" s="373">
        <f>IF(ISNUMBER(
   IF(J_V="SI",(Datos!L19-Datos!V19)/Datos!V19,(Datos!L19+Datos!AB19-(Datos!V19+Datos!AJ19))/(Datos!V19+Datos!AJ19))
     ),IF(J_V="SI",(Datos!L19-Datos!V19)/Datos!V19,(Datos!L19+Datos!AB19-(Datos!V19+Datos!AJ19))/(Datos!V19+Datos!AJ19))," - ")</f>
        <v>0.5296954314720812</v>
      </c>
      <c r="H19" s="374">
        <f>IF(ISNUMBER((Datos!M19-Datos!W19)/Datos!W19),(Datos!M19-Datos!W19)/Datos!W19," - ")</f>
        <v>-0.11847988077496274</v>
      </c>
      <c r="I19" s="371">
        <f>IF(ISNUMBER((Tasas!C19-Datos!BE19)/Datos!BE19),(Tasas!C19-Datos!BE19)/Datos!BE19," - ")</f>
        <v>0.74101630464027568</v>
      </c>
      <c r="J19" s="372">
        <f>IF(ISNUMBER((Tasas!D19-Datos!BF19)/Datos!BF19),(Tasas!D19-Datos!BF19)/Datos!BF19," - ")</f>
        <v>-0.49287141846284205</v>
      </c>
      <c r="K19" s="373">
        <f>IF(ISNUMBER((Tasas!E19-Datos!BG19)/Datos!BG19),(Tasas!E19-Datos!BG19)/Datos!BG19," - ")</f>
        <v>0.38359357922158138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0.26296967344705041</v>
      </c>
      <c r="E21" s="282">
        <f t="shared" si="1"/>
        <v>4.7552653005877847E-2</v>
      </c>
      <c r="F21" s="282">
        <f t="shared" si="1"/>
        <v>0.1500065849739918</v>
      </c>
      <c r="G21" s="283">
        <f t="shared" si="1"/>
        <v>0.38479204786575083</v>
      </c>
      <c r="H21" s="289">
        <f t="shared" si="1"/>
        <v>0.30061023938770143</v>
      </c>
      <c r="I21" s="281">
        <f t="shared" si="1"/>
        <v>0.81703966413464368</v>
      </c>
      <c r="J21" s="282">
        <f t="shared" si="1"/>
        <v>0.43674739859040579</v>
      </c>
      <c r="K21" s="283">
        <f t="shared" si="1"/>
        <v>0.29920011609863889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O968yf4FP8BgSsd1Wnet6iaAH9H4JCvXN0ircmwBGHRK3/6UivdOrkII2yYFs9Z90MqYtuugLpaCYIwnLNomA==" saltValue="gjIXx9LZ/4uooAFAp1/w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